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amp\Desktop\"/>
    </mc:Choice>
  </mc:AlternateContent>
  <bookViews>
    <workbookView xWindow="0" yWindow="0" windowWidth="17870" windowHeight="6230"/>
  </bookViews>
  <sheets>
    <sheet name="S-Series Performance Report" sheetId="1" r:id="rId1"/>
    <sheet name="B1" sheetId="2" state="hidden" r:id="rId2"/>
  </sheets>
  <definedNames>
    <definedName name="_xlnm.Print_Area" localSheetId="0">'S-Series Performance Report'!$B$2:$H$41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H36" i="1"/>
  <c r="C27" i="2" l="1"/>
  <c r="F47" i="2" l="1"/>
  <c r="F43" i="2" l="1"/>
  <c r="H35" i="1" l="1"/>
  <c r="G31" i="1" l="1"/>
  <c r="H31" i="1" l="1"/>
  <c r="H34" i="1"/>
  <c r="H33" i="1"/>
  <c r="H32" i="1"/>
  <c r="AA15" i="2" l="1"/>
  <c r="AA16" i="2"/>
  <c r="H22" i="1"/>
  <c r="H21" i="1"/>
  <c r="F32" i="2"/>
  <c r="H20" i="1"/>
  <c r="F36" i="2" l="1"/>
  <c r="F35" i="2"/>
  <c r="F34" i="2"/>
  <c r="F33" i="2"/>
  <c r="F31" i="2"/>
  <c r="F30" i="2"/>
  <c r="H24" i="1"/>
  <c r="H23" i="1"/>
  <c r="H19" i="1"/>
  <c r="H18" i="1"/>
  <c r="H17" i="1"/>
  <c r="H15" i="1"/>
  <c r="H13" i="1"/>
  <c r="H12" i="1"/>
  <c r="W58" i="2"/>
  <c r="W45" i="2"/>
  <c r="W44" i="2"/>
  <c r="W51" i="2"/>
  <c r="W50" i="2"/>
  <c r="V59" i="2"/>
  <c r="V58" i="2"/>
  <c r="V53" i="2"/>
  <c r="V41" i="2"/>
  <c r="V40" i="2"/>
  <c r="V35" i="2"/>
  <c r="V24" i="2"/>
  <c r="V23" i="2"/>
  <c r="V22" i="2"/>
  <c r="C26" i="2"/>
  <c r="C25" i="2"/>
  <c r="C24" i="2"/>
  <c r="C23" i="2"/>
  <c r="C22" i="2"/>
  <c r="C21" i="2"/>
  <c r="C20" i="2"/>
  <c r="C19" i="2"/>
  <c r="C18" i="2"/>
  <c r="C17" i="2"/>
  <c r="C16" i="2"/>
  <c r="W43" i="2"/>
  <c r="W42" i="2"/>
  <c r="W37" i="2"/>
  <c r="W33" i="2"/>
  <c r="W32" i="2"/>
  <c r="W31" i="2"/>
  <c r="W30" i="2"/>
  <c r="W27" i="2"/>
  <c r="W26" i="2"/>
  <c r="C15" i="2" l="1"/>
  <c r="C14" i="2"/>
  <c r="C13" i="2"/>
  <c r="C12" i="2"/>
  <c r="C11" i="2"/>
  <c r="C10" i="2"/>
  <c r="C9" i="2"/>
  <c r="C8" i="2"/>
  <c r="C7" i="2"/>
  <c r="C6" i="2"/>
  <c r="C5" i="2"/>
  <c r="F5" i="2" l="1"/>
  <c r="H25" i="2"/>
  <c r="Q49" i="2"/>
  <c r="Q9" i="2"/>
  <c r="Q28" i="2"/>
  <c r="Q48" i="2"/>
  <c r="Q31" i="2"/>
  <c r="Q8" i="2"/>
  <c r="Q47" i="2"/>
  <c r="Q7" i="2"/>
  <c r="Q30" i="2"/>
  <c r="Q6" i="2"/>
  <c r="Q44" i="2"/>
  <c r="Q26" i="2"/>
  <c r="Q46" i="2"/>
  <c r="Q45" i="2"/>
  <c r="Q29" i="2"/>
  <c r="Q5" i="2"/>
  <c r="Q27" i="2"/>
  <c r="Q10" i="2"/>
  <c r="Q50" i="2"/>
  <c r="Q57" i="2"/>
  <c r="Q33" i="2"/>
  <c r="Q17" i="2"/>
  <c r="Q52" i="2"/>
  <c r="Q18" i="2"/>
  <c r="Q56" i="2"/>
  <c r="Q16" i="2"/>
  <c r="Q55" i="2"/>
  <c r="Q39" i="2"/>
  <c r="Q32" i="2"/>
  <c r="Q15" i="2"/>
  <c r="Q54" i="2"/>
  <c r="Q38" i="2"/>
  <c r="Q14" i="2"/>
  <c r="Q20" i="2"/>
  <c r="Q11" i="2"/>
  <c r="Q53" i="2"/>
  <c r="Q37" i="2"/>
  <c r="Q21" i="2"/>
  <c r="Q13" i="2"/>
  <c r="Q36" i="2"/>
  <c r="Q12" i="2"/>
  <c r="Q34" i="2"/>
  <c r="Q51" i="2"/>
  <c r="Q35" i="2"/>
  <c r="Q19" i="2"/>
  <c r="Q58" i="2"/>
  <c r="Q42" i="2"/>
  <c r="Q41" i="2"/>
  <c r="Q25" i="2"/>
  <c r="Q40" i="2"/>
  <c r="Q24" i="2"/>
  <c r="Q23" i="2"/>
  <c r="Q22" i="2"/>
  <c r="Q61" i="2"/>
  <c r="Q60" i="2"/>
  <c r="Q59" i="2"/>
  <c r="Q43" i="2"/>
  <c r="H22" i="2"/>
  <c r="H13" i="2"/>
  <c r="H16" i="2"/>
  <c r="H20" i="2"/>
  <c r="H18" i="2"/>
  <c r="H21" i="2"/>
  <c r="H23" i="2"/>
  <c r="H24" i="2"/>
  <c r="H26" i="2"/>
  <c r="H15" i="2"/>
  <c r="H14" i="2"/>
  <c r="H17" i="2"/>
  <c r="H19" i="2"/>
  <c r="H12" i="2"/>
  <c r="AP34" i="2" l="1"/>
  <c r="AP60" i="2"/>
  <c r="AP15" i="2"/>
  <c r="AP58" i="2"/>
  <c r="AP30" i="2"/>
  <c r="AP50" i="2"/>
  <c r="AP32" i="2"/>
  <c r="AP49" i="2"/>
  <c r="AP8" i="2"/>
  <c r="AP22" i="2"/>
  <c r="AP7" i="2"/>
  <c r="AP52" i="2"/>
  <c r="AP61" i="2"/>
  <c r="AP59" i="2"/>
  <c r="AP29" i="2"/>
  <c r="AP23" i="2"/>
  <c r="AP19" i="2"/>
  <c r="AP54" i="2"/>
  <c r="AP10" i="2"/>
  <c r="AP40" i="2"/>
  <c r="AP47" i="2"/>
  <c r="AP57" i="2"/>
  <c r="AP17" i="2"/>
  <c r="AP38" i="2"/>
  <c r="AP9" i="2"/>
  <c r="AP46" i="2"/>
  <c r="AP33" i="2"/>
  <c r="AP12" i="2"/>
  <c r="AP45" i="2"/>
  <c r="AP39" i="2"/>
  <c r="AP35" i="2"/>
  <c r="AP6" i="2"/>
  <c r="AP27" i="2"/>
  <c r="AP48" i="2"/>
  <c r="AP5" i="2"/>
  <c r="AP36" i="2"/>
  <c r="AP21" i="2"/>
  <c r="AP11" i="2"/>
  <c r="AP44" i="2"/>
  <c r="AP18" i="2"/>
  <c r="AP37" i="2"/>
  <c r="AP16" i="2"/>
  <c r="AP25" i="2"/>
  <c r="AP42" i="2"/>
  <c r="AP26" i="2"/>
  <c r="AP20" i="2"/>
  <c r="AP53" i="2"/>
  <c r="AP55" i="2"/>
  <c r="AP51" i="2"/>
  <c r="AP31" i="2"/>
  <c r="AP43" i="2"/>
  <c r="AP56" i="2"/>
  <c r="AP24" i="2"/>
  <c r="AP28" i="2"/>
  <c r="AP14" i="2"/>
  <c r="AP41" i="2"/>
  <c r="AP13" i="2"/>
  <c r="F6" i="2"/>
  <c r="AH7" i="2"/>
  <c r="AH9" i="2"/>
  <c r="AH51" i="2"/>
  <c r="AH10" i="2"/>
  <c r="AH43" i="2"/>
  <c r="AH55" i="2"/>
  <c r="AH13" i="2"/>
  <c r="AH5" i="2"/>
  <c r="AH8" i="2"/>
  <c r="AH17" i="2"/>
  <c r="AH20" i="2"/>
  <c r="AH18" i="2"/>
  <c r="AH12" i="2"/>
  <c r="AH11" i="2"/>
  <c r="AH21" i="2"/>
  <c r="AH16" i="2"/>
  <c r="AH25" i="2"/>
  <c r="AH52" i="2"/>
  <c r="AH26" i="2"/>
  <c r="AH28" i="2"/>
  <c r="AH27" i="2"/>
  <c r="AH29" i="2"/>
  <c r="AH14" i="2"/>
  <c r="AH54" i="2"/>
  <c r="AH35" i="2"/>
  <c r="AH31" i="2"/>
  <c r="AH47" i="2"/>
  <c r="AH24" i="2"/>
  <c r="AH33" i="2"/>
  <c r="AH61" i="2"/>
  <c r="AH34" i="2"/>
  <c r="AH44" i="2"/>
  <c r="AH59" i="2"/>
  <c r="AH37" i="2"/>
  <c r="AH39" i="2"/>
  <c r="AH46" i="2"/>
  <c r="AH19" i="2"/>
  <c r="AH32" i="2"/>
  <c r="AH41" i="2"/>
  <c r="AH38" i="2"/>
  <c r="AH42" i="2"/>
  <c r="AH60" i="2"/>
  <c r="AH36" i="2"/>
  <c r="AH45" i="2"/>
  <c r="AH40" i="2"/>
  <c r="AH49" i="2"/>
  <c r="AH15" i="2"/>
  <c r="AH50" i="2"/>
  <c r="AH30" i="2"/>
  <c r="AH53" i="2"/>
  <c r="AH48" i="2"/>
  <c r="AH57" i="2"/>
  <c r="AH58" i="2"/>
  <c r="AH22" i="2"/>
  <c r="AH56" i="2"/>
  <c r="AH23" i="2"/>
  <c r="AH6" i="2"/>
  <c r="F7" i="2"/>
  <c r="F9" i="2"/>
  <c r="F8" i="2"/>
  <c r="Q62" i="2"/>
  <c r="F14" i="2" s="1"/>
  <c r="F13" i="2"/>
  <c r="AK14" i="2" l="1"/>
  <c r="AK7" i="2"/>
  <c r="AK15" i="2"/>
  <c r="AK23" i="2"/>
  <c r="AK31" i="2"/>
  <c r="AK39" i="2"/>
  <c r="AK47" i="2"/>
  <c r="AK55" i="2"/>
  <c r="AK5" i="2"/>
  <c r="AK10" i="2"/>
  <c r="AK34" i="2"/>
  <c r="AK58" i="2"/>
  <c r="AK35" i="2"/>
  <c r="AK59" i="2"/>
  <c r="AK44" i="2"/>
  <c r="AK13" i="2"/>
  <c r="AK53" i="2"/>
  <c r="AK46" i="2"/>
  <c r="AK8" i="2"/>
  <c r="AK16" i="2"/>
  <c r="AK24" i="2"/>
  <c r="AK32" i="2"/>
  <c r="AK40" i="2"/>
  <c r="AK48" i="2"/>
  <c r="AK56" i="2"/>
  <c r="AK61" i="2"/>
  <c r="AK38" i="2"/>
  <c r="AK9" i="2"/>
  <c r="AK17" i="2"/>
  <c r="AK25" i="2"/>
  <c r="AK33" i="2"/>
  <c r="AK41" i="2"/>
  <c r="AK49" i="2"/>
  <c r="AK57" i="2"/>
  <c r="AK18" i="2"/>
  <c r="AK26" i="2"/>
  <c r="AK42" i="2"/>
  <c r="AK50" i="2"/>
  <c r="AK27" i="2"/>
  <c r="AK51" i="2"/>
  <c r="AK12" i="2"/>
  <c r="AK28" i="2"/>
  <c r="AK52" i="2"/>
  <c r="AK29" i="2"/>
  <c r="AK22" i="2"/>
  <c r="AK11" i="2"/>
  <c r="AK19" i="2"/>
  <c r="AK43" i="2"/>
  <c r="AK20" i="2"/>
  <c r="AK60" i="2"/>
  <c r="AK37" i="2"/>
  <c r="AK54" i="2"/>
  <c r="AK36" i="2"/>
  <c r="AK21" i="2"/>
  <c r="AK45" i="2"/>
  <c r="AK6" i="2"/>
  <c r="AK30" i="2"/>
  <c r="AL6" i="2"/>
  <c r="AL7" i="2"/>
  <c r="AL15" i="2"/>
  <c r="AL23" i="2"/>
  <c r="AL31" i="2"/>
  <c r="AL39" i="2"/>
  <c r="AL47" i="2"/>
  <c r="AL55" i="2"/>
  <c r="AL26" i="2"/>
  <c r="AL50" i="2"/>
  <c r="AL60" i="2"/>
  <c r="AL13" i="2"/>
  <c r="AL54" i="2"/>
  <c r="AL8" i="2"/>
  <c r="AL16" i="2"/>
  <c r="AL24" i="2"/>
  <c r="AL32" i="2"/>
  <c r="AL40" i="2"/>
  <c r="AL48" i="2"/>
  <c r="AL56" i="2"/>
  <c r="AL29" i="2"/>
  <c r="AL61" i="2"/>
  <c r="AL38" i="2"/>
  <c r="AL9" i="2"/>
  <c r="AL17" i="2"/>
  <c r="AL25" i="2"/>
  <c r="AL33" i="2"/>
  <c r="AL41" i="2"/>
  <c r="AL49" i="2"/>
  <c r="AL57" i="2"/>
  <c r="AL10" i="2"/>
  <c r="AL18" i="2"/>
  <c r="AL34" i="2"/>
  <c r="AL42" i="2"/>
  <c r="AL58" i="2"/>
  <c r="AL36" i="2"/>
  <c r="AL37" i="2"/>
  <c r="AL53" i="2"/>
  <c r="AL22" i="2"/>
  <c r="AL14" i="2"/>
  <c r="AL5" i="2"/>
  <c r="AL11" i="2"/>
  <c r="AL19" i="2"/>
  <c r="AL27" i="2"/>
  <c r="AL35" i="2"/>
  <c r="AL43" i="2"/>
  <c r="AL51" i="2"/>
  <c r="AL59" i="2"/>
  <c r="AL44" i="2"/>
  <c r="AL45" i="2"/>
  <c r="AL46" i="2"/>
  <c r="AL12" i="2"/>
  <c r="AL20" i="2"/>
  <c r="AL28" i="2"/>
  <c r="AL52" i="2"/>
  <c r="AL21" i="2"/>
  <c r="AL30" i="2"/>
  <c r="F11" i="2"/>
  <c r="F19" i="2" s="1"/>
  <c r="AJ9" i="2"/>
  <c r="AJ61" i="2"/>
  <c r="AJ18" i="2"/>
  <c r="AJ27" i="2"/>
  <c r="AJ36" i="2"/>
  <c r="AJ53" i="2"/>
  <c r="AJ48" i="2"/>
  <c r="AJ6" i="2"/>
  <c r="AJ41" i="2"/>
  <c r="AJ13" i="2"/>
  <c r="AJ45" i="2"/>
  <c r="AJ28" i="2"/>
  <c r="AJ17" i="2"/>
  <c r="AJ23" i="2"/>
  <c r="AJ26" i="2"/>
  <c r="AJ35" i="2"/>
  <c r="AJ44" i="2"/>
  <c r="AJ15" i="2"/>
  <c r="AJ5" i="2"/>
  <c r="AJ16" i="2"/>
  <c r="AJ30" i="2"/>
  <c r="AJ21" i="2"/>
  <c r="AJ25" i="2"/>
  <c r="AJ47" i="2"/>
  <c r="AJ34" i="2"/>
  <c r="AJ43" i="2"/>
  <c r="AJ52" i="2"/>
  <c r="AJ31" i="2"/>
  <c r="AJ14" i="2"/>
  <c r="AJ50" i="2"/>
  <c r="AJ59" i="2"/>
  <c r="AJ55" i="2"/>
  <c r="AJ58" i="2"/>
  <c r="AJ8" i="2"/>
  <c r="AJ57" i="2"/>
  <c r="AJ29" i="2"/>
  <c r="AJ37" i="2"/>
  <c r="AJ33" i="2"/>
  <c r="AJ7" i="2"/>
  <c r="AJ42" i="2"/>
  <c r="AJ51" i="2"/>
  <c r="AJ60" i="2"/>
  <c r="AJ39" i="2"/>
  <c r="AJ22" i="2"/>
  <c r="AJ11" i="2"/>
  <c r="AJ46" i="2"/>
  <c r="AJ19" i="2"/>
  <c r="AJ54" i="2"/>
  <c r="AJ49" i="2"/>
  <c r="AJ32" i="2"/>
  <c r="AJ12" i="2"/>
  <c r="AJ38" i="2"/>
  <c r="AJ56" i="2"/>
  <c r="AJ20" i="2"/>
  <c r="AJ24" i="2"/>
  <c r="AJ10" i="2"/>
  <c r="AJ40" i="2"/>
  <c r="F25" i="2"/>
  <c r="G24" i="1"/>
  <c r="G23" i="1"/>
  <c r="F10" i="2"/>
  <c r="F24" i="2"/>
  <c r="F27" i="2"/>
  <c r="F26" i="2"/>
  <c r="F23" i="2"/>
  <c r="F18" i="2"/>
  <c r="F22" i="2"/>
  <c r="G13" i="1"/>
  <c r="G15" i="1"/>
  <c r="G12" i="1"/>
  <c r="F15" i="2"/>
  <c r="F12" i="2" l="1"/>
  <c r="F21" i="2" s="1"/>
  <c r="F17" i="2"/>
  <c r="AX14" i="2" l="1"/>
  <c r="AW21" i="2"/>
  <c r="AW14" i="2"/>
  <c r="AX23" i="2"/>
  <c r="AX8" i="2"/>
  <c r="AW15" i="2"/>
  <c r="AW8" i="2"/>
  <c r="AX25" i="2"/>
  <c r="AX10" i="2"/>
  <c r="AW17" i="2"/>
  <c r="AW42" i="2"/>
  <c r="AX35" i="2"/>
  <c r="AX21" i="2"/>
  <c r="AX52" i="2"/>
  <c r="AW12" i="2"/>
  <c r="AX30" i="2"/>
  <c r="AW37" i="2"/>
  <c r="AW38" i="2"/>
  <c r="AX47" i="2"/>
  <c r="AX24" i="2"/>
  <c r="AW31" i="2"/>
  <c r="AW40" i="2"/>
  <c r="AX57" i="2"/>
  <c r="AX26" i="2"/>
  <c r="AW33" i="2"/>
  <c r="AW59" i="2"/>
  <c r="AX51" i="2"/>
  <c r="AW44" i="2"/>
  <c r="AW11" i="2"/>
  <c r="AX19" i="2"/>
  <c r="AW51" i="2"/>
  <c r="AW13" i="2"/>
  <c r="AW36" i="2"/>
  <c r="AW52" i="2"/>
  <c r="AX27" i="2"/>
  <c r="AX13" i="2"/>
  <c r="AX22" i="2"/>
  <c r="AW29" i="2"/>
  <c r="AW22" i="2"/>
  <c r="AX39" i="2"/>
  <c r="AX16" i="2"/>
  <c r="AW23" i="2"/>
  <c r="AW24" i="2"/>
  <c r="AX41" i="2"/>
  <c r="AX18" i="2"/>
  <c r="AW25" i="2"/>
  <c r="AW58" i="2"/>
  <c r="AX43" i="2"/>
  <c r="AX45" i="2"/>
  <c r="AX60" i="2"/>
  <c r="AW7" i="2"/>
  <c r="AX38" i="2"/>
  <c r="AW45" i="2"/>
  <c r="AW54" i="2"/>
  <c r="AW6" i="2"/>
  <c r="AX32" i="2"/>
  <c r="AW39" i="2"/>
  <c r="AW48" i="2"/>
  <c r="AW16" i="2"/>
  <c r="AX34" i="2"/>
  <c r="AW41" i="2"/>
  <c r="AX29" i="2"/>
  <c r="AX59" i="2"/>
  <c r="AX12" i="2"/>
  <c r="AW19" i="2"/>
  <c r="AX20" i="2"/>
  <c r="AX54" i="2"/>
  <c r="AW46" i="2"/>
  <c r="AW55" i="2"/>
  <c r="AW56" i="2"/>
  <c r="AW57" i="2"/>
  <c r="AX11" i="2"/>
  <c r="AX28" i="2"/>
  <c r="AX5" i="2"/>
  <c r="AW5" i="2"/>
  <c r="AX33" i="2"/>
  <c r="AX61" i="2"/>
  <c r="AW10" i="2"/>
  <c r="AW50" i="2"/>
  <c r="AX6" i="2"/>
  <c r="AX15" i="2"/>
  <c r="AX17" i="2"/>
  <c r="AW26" i="2"/>
  <c r="AW43" i="2"/>
  <c r="AX46" i="2"/>
  <c r="AW53" i="2"/>
  <c r="AX53" i="2"/>
  <c r="AW30" i="2"/>
  <c r="AX40" i="2"/>
  <c r="AW47" i="2"/>
  <c r="AX37" i="2"/>
  <c r="AW32" i="2"/>
  <c r="AX42" i="2"/>
  <c r="AW49" i="2"/>
  <c r="AW28" i="2"/>
  <c r="AW18" i="2"/>
  <c r="AW27" i="2"/>
  <c r="AW61" i="2"/>
  <c r="AW60" i="2"/>
  <c r="AX48" i="2"/>
  <c r="AW20" i="2"/>
  <c r="AX50" i="2"/>
  <c r="AW34" i="2"/>
  <c r="AW35" i="2"/>
  <c r="AX31" i="2"/>
  <c r="AX7" i="2"/>
  <c r="AX56" i="2"/>
  <c r="AX9" i="2"/>
  <c r="AX58" i="2"/>
  <c r="AX36" i="2"/>
  <c r="AX55" i="2"/>
  <c r="AX49" i="2"/>
  <c r="AW9" i="2"/>
  <c r="AX44" i="2"/>
  <c r="AV10" i="2"/>
  <c r="AV55" i="2"/>
  <c r="AV54" i="2"/>
  <c r="AV53" i="2"/>
  <c r="AV44" i="2"/>
  <c r="AV35" i="2"/>
  <c r="AV25" i="2"/>
  <c r="AV16" i="2"/>
  <c r="AV47" i="2"/>
  <c r="AV46" i="2"/>
  <c r="AV45" i="2"/>
  <c r="AV36" i="2"/>
  <c r="AV27" i="2"/>
  <c r="AV17" i="2"/>
  <c r="AV8" i="2"/>
  <c r="AV39" i="2"/>
  <c r="AV38" i="2"/>
  <c r="AV37" i="2"/>
  <c r="AV28" i="2"/>
  <c r="AV19" i="2"/>
  <c r="AV9" i="2"/>
  <c r="AV58" i="2"/>
  <c r="AV31" i="2"/>
  <c r="AV30" i="2"/>
  <c r="AV29" i="2"/>
  <c r="AV20" i="2"/>
  <c r="AV11" i="2"/>
  <c r="AV56" i="2"/>
  <c r="AV50" i="2"/>
  <c r="AV23" i="2"/>
  <c r="AV22" i="2"/>
  <c r="AV21" i="2"/>
  <c r="AV12" i="2"/>
  <c r="AV57" i="2"/>
  <c r="AV48" i="2"/>
  <c r="AV15" i="2"/>
  <c r="AV14" i="2"/>
  <c r="AV13" i="2"/>
  <c r="AV59" i="2"/>
  <c r="AV49" i="2"/>
  <c r="AV40" i="2"/>
  <c r="AV34" i="2"/>
  <c r="AV7" i="2"/>
  <c r="AV6" i="2"/>
  <c r="AV60" i="2"/>
  <c r="AV51" i="2"/>
  <c r="AV41" i="2"/>
  <c r="AV32" i="2"/>
  <c r="AV26" i="2"/>
  <c r="AV5" i="2"/>
  <c r="AV52" i="2"/>
  <c r="AV43" i="2"/>
  <c r="AV33" i="2"/>
  <c r="AV24" i="2"/>
  <c r="AV18" i="2"/>
  <c r="AV61" i="2"/>
  <c r="AV42" i="2"/>
  <c r="AF33" i="2"/>
  <c r="F29" i="2"/>
  <c r="F28" i="2"/>
  <c r="F20" i="2"/>
  <c r="C21" i="1" s="1"/>
  <c r="AN17" i="2"/>
  <c r="AF32" i="2"/>
  <c r="AF59" i="2"/>
  <c r="AN21" i="2"/>
  <c r="AT7" i="2"/>
  <c r="AT32" i="2"/>
  <c r="AR29" i="2"/>
  <c r="AR55" i="2"/>
  <c r="AT15" i="2"/>
  <c r="AT24" i="2"/>
  <c r="AT49" i="2"/>
  <c r="AT37" i="2"/>
  <c r="AR9" i="2"/>
  <c r="AR37" i="2"/>
  <c r="AT23" i="2"/>
  <c r="AT40" i="2"/>
  <c r="AT57" i="2"/>
  <c r="AT53" i="2"/>
  <c r="AT10" i="2"/>
  <c r="AT54" i="2"/>
  <c r="AT12" i="2"/>
  <c r="AR17" i="2"/>
  <c r="AR34" i="2"/>
  <c r="AR12" i="2"/>
  <c r="AR7" i="2"/>
  <c r="AR59" i="2"/>
  <c r="AR8" i="2"/>
  <c r="AR45" i="2"/>
  <c r="AT30" i="2"/>
  <c r="AR41" i="2"/>
  <c r="AR40" i="2"/>
  <c r="AR5" i="2"/>
  <c r="AT55" i="2"/>
  <c r="AT46" i="2"/>
  <c r="AT44" i="2"/>
  <c r="AR54" i="2"/>
  <c r="AR13" i="2"/>
  <c r="AR22" i="2"/>
  <c r="AT13" i="2"/>
  <c r="AR30" i="2"/>
  <c r="AT33" i="2"/>
  <c r="AT60" i="2"/>
  <c r="AR43" i="2"/>
  <c r="AR50" i="2"/>
  <c r="AR38" i="2"/>
  <c r="AT38" i="2"/>
  <c r="AR51" i="2"/>
  <c r="AR46" i="2"/>
  <c r="AT31" i="2"/>
  <c r="AT48" i="2"/>
  <c r="AT18" i="2"/>
  <c r="AT6" i="2"/>
  <c r="AT34" i="2"/>
  <c r="AT11" i="2"/>
  <c r="AT20" i="2"/>
  <c r="AR25" i="2"/>
  <c r="AR42" i="2"/>
  <c r="AR28" i="2"/>
  <c r="AR16" i="2"/>
  <c r="AR20" i="2"/>
  <c r="AR24" i="2"/>
  <c r="AR53" i="2"/>
  <c r="AR61" i="2"/>
  <c r="AT42" i="2"/>
  <c r="AT27" i="2"/>
  <c r="AR11" i="2"/>
  <c r="AR52" i="2"/>
  <c r="AT39" i="2"/>
  <c r="AT56" i="2"/>
  <c r="AT26" i="2"/>
  <c r="AT14" i="2"/>
  <c r="AT50" i="2"/>
  <c r="AT19" i="2"/>
  <c r="AT28" i="2"/>
  <c r="AR33" i="2"/>
  <c r="AR58" i="2"/>
  <c r="AR44" i="2"/>
  <c r="AR32" i="2"/>
  <c r="AR36" i="2"/>
  <c r="AR48" i="2"/>
  <c r="AT58" i="2"/>
  <c r="AT35" i="2"/>
  <c r="AR19" i="2"/>
  <c r="AR56" i="2"/>
  <c r="AT43" i="2"/>
  <c r="AR57" i="2"/>
  <c r="AR15" i="2"/>
  <c r="AR21" i="2"/>
  <c r="AT16" i="2"/>
  <c r="AT21" i="2"/>
  <c r="AT51" i="2"/>
  <c r="AR31" i="2"/>
  <c r="AR26" i="2"/>
  <c r="AT47" i="2"/>
  <c r="AT9" i="2"/>
  <c r="AT29" i="2"/>
  <c r="AT36" i="2"/>
  <c r="AR60" i="2"/>
  <c r="AR14" i="2"/>
  <c r="AT17" i="2"/>
  <c r="AT45" i="2"/>
  <c r="AR49" i="2"/>
  <c r="AR6" i="2"/>
  <c r="AT25" i="2"/>
  <c r="AT5" i="2"/>
  <c r="AT61" i="2"/>
  <c r="AT52" i="2"/>
  <c r="AR27" i="2"/>
  <c r="AR10" i="2"/>
  <c r="AR23" i="2"/>
  <c r="AR18" i="2"/>
  <c r="AR39" i="2"/>
  <c r="AT41" i="2"/>
  <c r="AR47" i="2"/>
  <c r="AT22" i="2"/>
  <c r="AT59" i="2"/>
  <c r="AR35" i="2"/>
  <c r="AT8" i="2"/>
  <c r="AF54" i="2"/>
  <c r="AN12" i="2"/>
  <c r="AN61" i="2"/>
  <c r="AF22" i="2"/>
  <c r="AF57" i="2"/>
  <c r="AF52" i="2"/>
  <c r="AF48" i="2"/>
  <c r="AN28" i="2"/>
  <c r="AF26" i="2"/>
  <c r="AN49" i="2"/>
  <c r="AN37" i="2"/>
  <c r="AN13" i="2"/>
  <c r="AF40" i="2"/>
  <c r="AF18" i="2"/>
  <c r="AN54" i="2"/>
  <c r="AN25" i="2"/>
  <c r="AN42" i="2"/>
  <c r="AN19" i="2"/>
  <c r="AF29" i="2"/>
  <c r="AF37" i="2"/>
  <c r="AF56" i="2"/>
  <c r="AN45" i="2"/>
  <c r="AN35" i="2"/>
  <c r="AF49" i="2"/>
  <c r="AF15" i="2"/>
  <c r="AF35" i="2"/>
  <c r="AN60" i="2"/>
  <c r="AN11" i="2"/>
  <c r="AN58" i="2"/>
  <c r="AF17" i="2"/>
  <c r="AF44" i="2"/>
  <c r="AF39" i="2"/>
  <c r="AF38" i="2"/>
  <c r="AF31" i="2"/>
  <c r="AN7" i="2"/>
  <c r="AN22" i="2"/>
  <c r="AN55" i="2"/>
  <c r="AN24" i="2"/>
  <c r="AN29" i="2"/>
  <c r="AN52" i="2"/>
  <c r="AN41" i="2"/>
  <c r="AN50" i="2"/>
  <c r="AF46" i="2"/>
  <c r="AF19" i="2"/>
  <c r="AN34" i="2"/>
  <c r="AN48" i="2"/>
  <c r="AF58" i="2"/>
  <c r="AF12" i="2"/>
  <c r="AN31" i="2"/>
  <c r="AN38" i="2"/>
  <c r="AF34" i="2"/>
  <c r="AF13" i="2"/>
  <c r="AF21" i="2"/>
  <c r="AF53" i="2"/>
  <c r="AF10" i="2"/>
  <c r="AF45" i="2"/>
  <c r="AN43" i="2"/>
  <c r="AN23" i="2"/>
  <c r="AN57" i="2"/>
  <c r="AN10" i="2"/>
  <c r="AN20" i="2"/>
  <c r="AN59" i="2"/>
  <c r="AN40" i="2"/>
  <c r="AF55" i="2"/>
  <c r="AN26" i="2"/>
  <c r="AN18" i="2"/>
  <c r="AF20" i="2"/>
  <c r="AF5" i="2"/>
  <c r="AF50" i="2"/>
  <c r="AF11" i="2"/>
  <c r="F16" i="2"/>
  <c r="AF47" i="2"/>
  <c r="AF14" i="2"/>
  <c r="AF42" i="2"/>
  <c r="AF7" i="2"/>
  <c r="AF36" i="2"/>
  <c r="AF30" i="2"/>
  <c r="AF28" i="2"/>
  <c r="AN5" i="2"/>
  <c r="AN14" i="2"/>
  <c r="AN56" i="2"/>
  <c r="AN53" i="2"/>
  <c r="AN27" i="2"/>
  <c r="AN9" i="2"/>
  <c r="AN30" i="2"/>
  <c r="AN51" i="2"/>
  <c r="AF23" i="2"/>
  <c r="AF24" i="2"/>
  <c r="AF8" i="2"/>
  <c r="AN36" i="2"/>
  <c r="AN33" i="2"/>
  <c r="AN39" i="2"/>
  <c r="AF43" i="2"/>
  <c r="AF61" i="2"/>
  <c r="AF51" i="2"/>
  <c r="AN6" i="2"/>
  <c r="AN16" i="2"/>
  <c r="AF41" i="2"/>
  <c r="AF16" i="2"/>
  <c r="AF9" i="2"/>
  <c r="AF25" i="2"/>
  <c r="AF27" i="2"/>
  <c r="AF60" i="2"/>
  <c r="AF6" i="2"/>
  <c r="AN8" i="2"/>
  <c r="AN15" i="2"/>
  <c r="AN46" i="2"/>
  <c r="AN47" i="2"/>
  <c r="AN32" i="2"/>
  <c r="AN44" i="2"/>
  <c r="F41" i="2" l="1"/>
  <c r="F42" i="2"/>
  <c r="F40" i="2"/>
  <c r="G16" i="1"/>
  <c r="F38" i="2"/>
  <c r="F39" i="2"/>
  <c r="F37" i="2"/>
  <c r="G14" i="1"/>
  <c r="G18" i="1" l="1"/>
  <c r="G21" i="1" s="1"/>
  <c r="G19" i="1"/>
  <c r="G22" i="1" s="1"/>
  <c r="G17" i="1"/>
  <c r="G20" i="1" s="1"/>
  <c r="F46" i="2" l="1"/>
  <c r="G34" i="1" s="1"/>
  <c r="F50" i="2" s="1"/>
  <c r="G37" i="1" s="1"/>
  <c r="F45" i="2"/>
  <c r="G33" i="1" s="1"/>
  <c r="F49" i="2" s="1"/>
  <c r="G36" i="1" s="1"/>
  <c r="F44" i="2"/>
  <c r="G32" i="1" s="1"/>
  <c r="F48" i="2" s="1"/>
  <c r="G35" i="1" l="1"/>
  <c r="F51" i="2"/>
</calcChain>
</file>

<file path=xl/comments1.xml><?xml version="1.0" encoding="utf-8"?>
<comments xmlns="http://schemas.openxmlformats.org/spreadsheetml/2006/main">
  <authors>
    <author>John Lamp</author>
  </authors>
  <commentList>
    <comment ref="C29" authorId="0" shapeId="0">
      <text>
        <r>
          <rPr>
            <b/>
            <sz val="9"/>
            <color indexed="81"/>
            <rFont val="Tahoma"/>
            <family val="2"/>
          </rPr>
          <t>Select +/-50 deg F for applications subject to ambient temperature fluctuation, such as outdoor installations.</t>
        </r>
      </text>
    </comment>
    <comment ref="C30" authorId="0" shapeId="0">
      <text>
        <r>
          <rPr>
            <b/>
            <sz val="9"/>
            <color indexed="81"/>
            <rFont val="Tahoma"/>
            <family val="2"/>
          </rPr>
          <t>Enter the number of years between the factory calibration and the measurment accuracy calculation.  Maximum of 10 years.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For differential pressure applications, select Up to 1000 PSI if the static process pressure is high.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Enter the expected supply voltage variation in Volts DC.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</rPr>
          <t>Enter the expected installation vibration level in g's peak to peak.  The aluminum housing is rated to 2g, The SS housing is rated to 3g.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Select High for applications subject to radio frequency interference in the range of 30 to 1000 MHz and field intensity up 30 V/m.</t>
        </r>
      </text>
    </comment>
    <comment ref="C35" authorId="0" shapeId="0">
      <text>
        <r>
          <rPr>
            <b/>
            <sz val="9"/>
            <color indexed="81"/>
            <rFont val="Tahoma"/>
            <family val="2"/>
          </rPr>
          <t xml:space="preserve">Enter a whole number between 0 and 10, representing the number of lightning or surge events up 2000V.  </t>
        </r>
      </text>
    </comment>
    <comment ref="C36" authorId="0" shapeId="0">
      <text>
        <r>
          <rPr>
            <b/>
            <sz val="9"/>
            <color indexed="81"/>
            <rFont val="Tahoma"/>
            <family val="2"/>
          </rPr>
          <t>For analog output applications, enter the tolerance of the external shunt/resistor installed in the circuit as a percent.  This is usually specified by the appropriate color band on the resistor itself.  If using an analog input module with an internal resistor, enter 0 in this field and use the next field to account for the total error of the input measurement.  This field is ignored for digital applications.</t>
        </r>
      </text>
    </comment>
    <comment ref="C37" authorId="0" shapeId="0">
      <text>
        <r>
          <rPr>
            <b/>
            <sz val="9"/>
            <color indexed="81"/>
            <rFont val="Tahoma"/>
            <family val="2"/>
          </rPr>
          <t>For analog applications, enter the percent error of the PLC, data recorder, or I/O module used to read the 4-20mA output generated by the transmitter.  This field is ignored for digital applications.</t>
        </r>
      </text>
    </comment>
  </commentList>
</comments>
</file>

<file path=xl/sharedStrings.xml><?xml version="1.0" encoding="utf-8"?>
<sst xmlns="http://schemas.openxmlformats.org/spreadsheetml/2006/main" count="415" uniqueCount="267">
  <si>
    <t>Status</t>
  </si>
  <si>
    <t>Characteristic</t>
  </si>
  <si>
    <t>Absolute</t>
  </si>
  <si>
    <t>Gauge</t>
  </si>
  <si>
    <t>Differential</t>
  </si>
  <si>
    <t>05S</t>
  </si>
  <si>
    <t>10S</t>
  </si>
  <si>
    <t>50S</t>
  </si>
  <si>
    <t>Direct Connect</t>
  </si>
  <si>
    <t>Biplanar</t>
  </si>
  <si>
    <t>PSI</t>
  </si>
  <si>
    <t>BAR</t>
  </si>
  <si>
    <t>inH2O</t>
  </si>
  <si>
    <t>Application Data</t>
  </si>
  <si>
    <t>Pressure Format</t>
  </si>
  <si>
    <t>Units</t>
  </si>
  <si>
    <t>Transmitter Series</t>
  </si>
  <si>
    <t>Transmitter Range</t>
  </si>
  <si>
    <t>Lower Range Value (LRV)</t>
  </si>
  <si>
    <t>Upper Range Value (URV)</t>
  </si>
  <si>
    <t>Lists</t>
  </si>
  <si>
    <t>AP/GP Body Style</t>
  </si>
  <si>
    <t>dP Body Style</t>
  </si>
  <si>
    <t>05S AP Direct Spans</t>
  </si>
  <si>
    <t>05S AP Biplanar Spans</t>
  </si>
  <si>
    <t>05S GP Direct Spans</t>
  </si>
  <si>
    <t>05S GP Biplanar Spans</t>
  </si>
  <si>
    <t>05S dP Spans</t>
  </si>
  <si>
    <t>10S AP Direct Spans</t>
  </si>
  <si>
    <t>10S AP Biplanar Spans</t>
  </si>
  <si>
    <t>10S GP Direct Spans</t>
  </si>
  <si>
    <t>10S GP Biplanar Spans</t>
  </si>
  <si>
    <t>10S dP Spans</t>
  </si>
  <si>
    <t>Temp</t>
  </si>
  <si>
    <t>Pressure</t>
  </si>
  <si>
    <t>Vibration</t>
  </si>
  <si>
    <t>RFI</t>
  </si>
  <si>
    <t>IAP05S</t>
  </si>
  <si>
    <t>IGP05S</t>
  </si>
  <si>
    <t>IDP05S</t>
  </si>
  <si>
    <t>Biplanar or Low-Profile</t>
  </si>
  <si>
    <t>D</t>
  </si>
  <si>
    <t>B</t>
  </si>
  <si>
    <t>+/- 50 deg F</t>
  </si>
  <si>
    <t>Up to 1000 PSI</t>
  </si>
  <si>
    <t>High</t>
  </si>
  <si>
    <t>IAP10S</t>
  </si>
  <si>
    <t>IGP10S</t>
  </si>
  <si>
    <t>IDP10S</t>
  </si>
  <si>
    <t>E</t>
  </si>
  <si>
    <t>C</t>
  </si>
  <si>
    <t>No Change</t>
  </si>
  <si>
    <t>None</t>
  </si>
  <si>
    <t>IAP50S</t>
  </si>
  <si>
    <t>IGP50S</t>
  </si>
  <si>
    <t>IDP50S</t>
  </si>
  <si>
    <t>F</t>
  </si>
  <si>
    <t>J</t>
  </si>
  <si>
    <t>G</t>
  </si>
  <si>
    <t>H</t>
  </si>
  <si>
    <t>Format</t>
  </si>
  <si>
    <t>Absolute Series</t>
  </si>
  <si>
    <t>Gauge Series</t>
  </si>
  <si>
    <t>Differential Series</t>
  </si>
  <si>
    <t>Body Style</t>
  </si>
  <si>
    <t>Time in Service (years)</t>
  </si>
  <si>
    <t>Static Pressure Effect</t>
  </si>
  <si>
    <t>Lightening or Surge Events</t>
  </si>
  <si>
    <t>Upper Range Limit (URL)</t>
  </si>
  <si>
    <t>Min Span</t>
  </si>
  <si>
    <t>Reading Accuracy Down To</t>
  </si>
  <si>
    <t>Ref. Error at URV</t>
  </si>
  <si>
    <t>Ref. Error at LRV</t>
  </si>
  <si>
    <t>Max Working Pressure</t>
  </si>
  <si>
    <t>Proof Pressure</t>
  </si>
  <si>
    <t>Reference</t>
  </si>
  <si>
    <t>Calc</t>
  </si>
  <si>
    <t>Units Conv.</t>
  </si>
  <si>
    <t>Max Range</t>
  </si>
  <si>
    <t>Min Range</t>
  </si>
  <si>
    <t>50S AP Direct Spans</t>
  </si>
  <si>
    <t>50S AP Biplanar Spans</t>
  </si>
  <si>
    <t>50S GP Direct Spans</t>
  </si>
  <si>
    <t>50S GP Biplanar Spans</t>
  </si>
  <si>
    <t>50S dP Spans</t>
  </si>
  <si>
    <t>Span Range Index</t>
  </si>
  <si>
    <t>Turndown</t>
  </si>
  <si>
    <t>Pressure Rating Error</t>
  </si>
  <si>
    <t>URV Above URL Error</t>
  </si>
  <si>
    <t>IAP05S, Dir, D</t>
  </si>
  <si>
    <t>IAP05S, Dir, E</t>
  </si>
  <si>
    <t>IAP05S, Bi, B</t>
  </si>
  <si>
    <t>IAP05S, Bi, C</t>
  </si>
  <si>
    <t>IAP05S, Bi, D</t>
  </si>
  <si>
    <t>IAP05S, Bi, E</t>
  </si>
  <si>
    <t>IGP05S, Dir, D</t>
  </si>
  <si>
    <t>IGP05S, Dir, E</t>
  </si>
  <si>
    <t>IGP05S, Dir, F</t>
  </si>
  <si>
    <t>IGP05S, Dir, J</t>
  </si>
  <si>
    <t>IGP05S, Dir, G</t>
  </si>
  <si>
    <t>IGP05S, Dir, H</t>
  </si>
  <si>
    <t>IGP05S, Bi, B</t>
  </si>
  <si>
    <t>IGP05S, Bi, C</t>
  </si>
  <si>
    <t>IGP05S, Bi, D</t>
  </si>
  <si>
    <t>IGP05S, Bi, E</t>
  </si>
  <si>
    <t>IGP05S, Bi, F</t>
  </si>
  <si>
    <t>IDP05S, B</t>
  </si>
  <si>
    <t>IDP05S, C</t>
  </si>
  <si>
    <t>IDP05S, D</t>
  </si>
  <si>
    <t>IDP05S, E</t>
  </si>
  <si>
    <t>IAP10S, Dir, D</t>
  </si>
  <si>
    <t>IAP10S, Dir, E</t>
  </si>
  <si>
    <t>IAP10S, Bi, B</t>
  </si>
  <si>
    <t>IAP10S, Bi, C</t>
  </si>
  <si>
    <t>IAP10S, Bi, D</t>
  </si>
  <si>
    <t>IAP10S, Bi, E</t>
  </si>
  <si>
    <t>IGP10S, Dir, D</t>
  </si>
  <si>
    <t>IGP10S, Dir, E</t>
  </si>
  <si>
    <t>IGP10S, Dir, F</t>
  </si>
  <si>
    <t>IGP10S, Bi, B</t>
  </si>
  <si>
    <t>IGP10S, Bi, C</t>
  </si>
  <si>
    <t>IGP10S, Bi, D</t>
  </si>
  <si>
    <t>IGP10S, Bi, E</t>
  </si>
  <si>
    <t>IGP10S, Bi, F</t>
  </si>
  <si>
    <t>IDP10S, B</t>
  </si>
  <si>
    <t>IDP10S, C</t>
  </si>
  <si>
    <t>IDP10S, D</t>
  </si>
  <si>
    <t>IDP10S, E</t>
  </si>
  <si>
    <t>IAP50S, Dir, D</t>
  </si>
  <si>
    <t>IAP50S, Dir, E</t>
  </si>
  <si>
    <t>IAP50S, Bi, B</t>
  </si>
  <si>
    <t>IAP50S, Bi, C</t>
  </si>
  <si>
    <t>IAP50S, Bi, D</t>
  </si>
  <si>
    <t>IAP50S, Bi, E</t>
  </si>
  <si>
    <t>IGP50S, Dir, D</t>
  </si>
  <si>
    <t>IGP50S, Dir, E</t>
  </si>
  <si>
    <t>IGP50S, Dir, F</t>
  </si>
  <si>
    <t>IGP50S, Bi, B</t>
  </si>
  <si>
    <t>IGP50S, Bi, C</t>
  </si>
  <si>
    <t>IGP50S, Bi, D</t>
  </si>
  <si>
    <t>IGP50S, Bi, E</t>
  </si>
  <si>
    <t>IGP50S, Bi, F</t>
  </si>
  <si>
    <t>IDP50S, B</t>
  </si>
  <si>
    <t>IDP50S, C</t>
  </si>
  <si>
    <t>IDP50S, D</t>
  </si>
  <si>
    <t>IDP50S, E</t>
  </si>
  <si>
    <t>Model</t>
  </si>
  <si>
    <t>Reading Error Turndown</t>
  </si>
  <si>
    <t>Reading Error %</t>
  </si>
  <si>
    <t>Span Reference Error %</t>
  </si>
  <si>
    <t>Reference Turndown</t>
  </si>
  <si>
    <t>URL/Span Constant</t>
  </si>
  <si>
    <t>Max Overrange</t>
  </si>
  <si>
    <t>Max Proof</t>
  </si>
  <si>
    <t>Error</t>
  </si>
  <si>
    <t>A</t>
  </si>
  <si>
    <t>I</t>
  </si>
  <si>
    <t>Model Index</t>
  </si>
  <si>
    <t>Transmitter</t>
  </si>
  <si>
    <t>Model Var</t>
  </si>
  <si>
    <t>Selections Mismatch</t>
  </si>
  <si>
    <t>Lower Range Min</t>
  </si>
  <si>
    <t>URL or Span Limit</t>
  </si>
  <si>
    <t>LRV below LRL Error</t>
  </si>
  <si>
    <t>Small Span Error</t>
  </si>
  <si>
    <t>Maximum Process Pressure</t>
  </si>
  <si>
    <t>Min Span (URV - LRV)</t>
  </si>
  <si>
    <t>Transmitter Turndown</t>
  </si>
  <si>
    <t>URV in PSI</t>
  </si>
  <si>
    <t>LRV in PSI</t>
  </si>
  <si>
    <t>POI in PSI</t>
  </si>
  <si>
    <t>Max Pressure in PSI</t>
  </si>
  <si>
    <t>URV in Reading Range</t>
  </si>
  <si>
    <t>LRV in Reading Range</t>
  </si>
  <si>
    <t>POI in Reading Range</t>
  </si>
  <si>
    <t>URV in Ref Range</t>
  </si>
  <si>
    <t>LRV in Ref Range</t>
  </si>
  <si>
    <t>POI in Ref Range</t>
  </si>
  <si>
    <t>FoxCal</t>
  </si>
  <si>
    <t>Point of Interest (POI)</t>
  </si>
  <si>
    <t>Temp Effect URL</t>
  </si>
  <si>
    <t>Temp Effect Span</t>
  </si>
  <si>
    <t>Stability/YR URL</t>
  </si>
  <si>
    <t>Supply Power/V Span</t>
  </si>
  <si>
    <t>Vibration URL</t>
  </si>
  <si>
    <t>RFI Span</t>
  </si>
  <si>
    <t>Surge Span</t>
  </si>
  <si>
    <t>Static Pressure Span</t>
  </si>
  <si>
    <t>Temp Factor On</t>
  </si>
  <si>
    <t>Time in Service</t>
  </si>
  <si>
    <t>Static Pressure Effect On</t>
  </si>
  <si>
    <t>Supply Voltage Shift</t>
  </si>
  <si>
    <t>RFI On</t>
  </si>
  <si>
    <t>Surge Events</t>
  </si>
  <si>
    <t>Installation Factors</t>
  </si>
  <si>
    <t>Span in PSI</t>
  </si>
  <si>
    <t>Stability Error Units</t>
  </si>
  <si>
    <t>Temp Error Units</t>
  </si>
  <si>
    <t>Supply Voltage Error Units</t>
  </si>
  <si>
    <t>Static P URV Error Units</t>
  </si>
  <si>
    <t>Static P LRV Error Units</t>
  </si>
  <si>
    <t>Static P POI Error Units</t>
  </si>
  <si>
    <t>Vibration Error Units</t>
  </si>
  <si>
    <t>RFI Error Units</t>
  </si>
  <si>
    <t>Surge Error Units</t>
  </si>
  <si>
    <t>Supply Voltage Effect (VDC)</t>
  </si>
  <si>
    <t>Ambient Temperature Effect</t>
  </si>
  <si>
    <t>Vibration Effect</t>
  </si>
  <si>
    <t>RFI Effect</t>
  </si>
  <si>
    <t>Span in Reading Range</t>
  </si>
  <si>
    <t>Span in Ref Range</t>
  </si>
  <si>
    <t>05S URV Error*Units</t>
  </si>
  <si>
    <t>05S LRV Error*Units</t>
  </si>
  <si>
    <t>05S POI Error*Units</t>
  </si>
  <si>
    <t>10S/50S URV Error*Units</t>
  </si>
  <si>
    <t>10S/50S LRV Error*Units</t>
  </si>
  <si>
    <t>10S/50S POI Error*Units</t>
  </si>
  <si>
    <t>Installed +/- Error at URV</t>
  </si>
  <si>
    <t>Installed +/- Error at LRV</t>
  </si>
  <si>
    <t>Installed +/- Error at POI</t>
  </si>
  <si>
    <t>Ref. Error at POI</t>
  </si>
  <si>
    <t>www.nealsystems.com  |  122 Terry Drive, Newtown, PA 18940  |  sales@nealsystems.com  |  215-968-7577</t>
  </si>
  <si>
    <t>Flow +/- Error at LRV</t>
  </si>
  <si>
    <t>Flow +/- Error at POI</t>
  </si>
  <si>
    <t>Totalized Daily +/- Error at POI</t>
  </si>
  <si>
    <t>Flow Rate at POI</t>
  </si>
  <si>
    <t>%</t>
  </si>
  <si>
    <t>Flow Units</t>
  </si>
  <si>
    <t>GPM</t>
  </si>
  <si>
    <t>MGD</t>
  </si>
  <si>
    <t>SCFH</t>
  </si>
  <si>
    <t>SCFM</t>
  </si>
  <si>
    <t>lb/min</t>
  </si>
  <si>
    <t>Flow +/- Error at URV</t>
  </si>
  <si>
    <t>Flow Error due to Pressure Error at URV</t>
  </si>
  <si>
    <t>Flow Error due to Pressure Error at LRV</t>
  </si>
  <si>
    <t>Flow Error due to Pressure Error at POI</t>
  </si>
  <si>
    <t>Max Flow Rate (at URV)</t>
  </si>
  <si>
    <t>Application</t>
  </si>
  <si>
    <t>dP Flow</t>
  </si>
  <si>
    <t xml:space="preserve"> Transmitter Performance Report</t>
  </si>
  <si>
    <t>dP Element Error (% max flow)</t>
  </si>
  <si>
    <t>Flow at LRV</t>
  </si>
  <si>
    <t>Sig Digits</t>
  </si>
  <si>
    <t>Totalizing Multiplier</t>
  </si>
  <si>
    <t>Totalized POI Error</t>
  </si>
  <si>
    <t>dP Flow Application</t>
  </si>
  <si>
    <t>Pressure Transmitter Accuracy Results</t>
  </si>
  <si>
    <t>Pressure or Liquid Level</t>
  </si>
  <si>
    <t>Output Type</t>
  </si>
  <si>
    <t>Output</t>
  </si>
  <si>
    <t>Analog (4-20mA)</t>
  </si>
  <si>
    <t>Digital</t>
  </si>
  <si>
    <t>Analog Output Error %Span</t>
  </si>
  <si>
    <t>Analog</t>
  </si>
  <si>
    <t>Analog Output Error Units</t>
  </si>
  <si>
    <t>Resistor Error Units</t>
  </si>
  <si>
    <t>Analog Input Error Units</t>
  </si>
  <si>
    <t>Selection Compatibility</t>
  </si>
  <si>
    <t>Totalized Daily +/- Error at URV</t>
  </si>
  <si>
    <t>Totalized Daily +/- Error at LRV</t>
  </si>
  <si>
    <t>Totalized URV Error</t>
  </si>
  <si>
    <t>Totalized LRV Error</t>
  </si>
  <si>
    <t>Shunt Resistor Tolerance (%)</t>
  </si>
  <si>
    <t>Input Module Error (%)</t>
  </si>
  <si>
    <t>Large Span Error</t>
  </si>
  <si>
    <t>Calculations based on published performance specifications by Schneider-Electric, updated October 28,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</si>
</sst>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00"/>
    <numFmt numFmtId="165" formatCode="0.00000"/>
    <numFmt numFmtId="166" formatCode="0.0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Verdana"/>
      <family val="2"/>
    </font>
    <font>
      <b/>
      <sz val="9"/>
      <color rgb="FF3F3F3F"/>
      <name val="Verdana"/>
      <family val="2"/>
    </font>
    <font>
      <sz val="9"/>
      <color theme="1"/>
      <name val="Calibri"/>
      <family val="2"/>
      <scheme val="minor"/>
    </font>
    <font>
      <b/>
      <sz val="9"/>
      <color theme="0"/>
      <name val="Verdana"/>
      <family val="2"/>
    </font>
    <font>
      <i/>
      <sz val="9"/>
      <color theme="1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b/>
      <sz val="12"/>
      <color theme="0"/>
      <name val="Verdana"/>
      <family val="2"/>
    </font>
    <font>
      <b/>
      <sz val="9"/>
      <color theme="1" tint="0.249977111117893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81A16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C81A16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/>
      <top style="medium">
        <color rgb="FFC81A16"/>
      </top>
      <bottom/>
      <diagonal/>
    </border>
    <border>
      <left/>
      <right/>
      <top/>
      <bottom style="thin">
        <color rgb="FF3F3F3F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2" borderId="1" applyNumberFormat="0" applyAlignment="0" applyProtection="0"/>
    <xf numFmtId="0" fontId="4" fillId="4" borderId="2" applyNumberFormat="0" applyAlignment="0" applyProtection="0"/>
    <xf numFmtId="0" fontId="5" fillId="3" borderId="3" applyNumberFormat="0" applyAlignment="0" applyProtection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quotePrefix="1"/>
    <xf numFmtId="0" fontId="2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8" xfId="0" applyFont="1" applyBorder="1" applyAlignment="1">
      <alignment horizontal="left"/>
    </xf>
    <xf numFmtId="0" fontId="10" fillId="0" borderId="0" xfId="0" applyFont="1"/>
    <xf numFmtId="0" fontId="11" fillId="0" borderId="5" xfId="1" applyFont="1" applyFill="1" applyBorder="1" applyAlignment="1" applyProtection="1">
      <alignment horizontal="left"/>
      <protection locked="0"/>
    </xf>
    <xf numFmtId="0" fontId="12" fillId="0" borderId="0" xfId="0" applyFont="1"/>
    <xf numFmtId="0" fontId="10" fillId="0" borderId="0" xfId="0" applyFont="1" applyBorder="1" applyAlignment="1">
      <alignment horizontal="left"/>
    </xf>
    <xf numFmtId="1" fontId="13" fillId="3" borderId="9" xfId="3" applyNumberFormat="1" applyFont="1" applyBorder="1" applyAlignment="1" applyProtection="1">
      <alignment horizontal="left"/>
    </xf>
    <xf numFmtId="0" fontId="14" fillId="0" borderId="0" xfId="0" applyFont="1"/>
    <xf numFmtId="0" fontId="11" fillId="0" borderId="6" xfId="1" applyFont="1" applyFill="1" applyBorder="1" applyAlignment="1" applyProtection="1">
      <alignment horizontal="left"/>
      <protection locked="0"/>
    </xf>
    <xf numFmtId="2" fontId="13" fillId="3" borderId="7" xfId="3" applyNumberFormat="1" applyFont="1" applyBorder="1" applyAlignment="1" applyProtection="1">
      <alignment horizontal="left"/>
    </xf>
    <xf numFmtId="164" fontId="13" fillId="3" borderId="7" xfId="3" applyNumberFormat="1" applyFont="1" applyBorder="1" applyAlignment="1" applyProtection="1">
      <alignment horizontal="left"/>
    </xf>
    <xf numFmtId="0" fontId="13" fillId="3" borderId="7" xfId="3" applyFont="1" applyBorder="1" applyAlignment="1" applyProtection="1">
      <alignment horizontal="left"/>
    </xf>
    <xf numFmtId="0" fontId="10" fillId="0" borderId="0" xfId="0" applyFont="1" applyBorder="1"/>
    <xf numFmtId="165" fontId="13" fillId="3" borderId="7" xfId="3" applyNumberFormat="1" applyFont="1" applyBorder="1" applyAlignment="1" applyProtection="1">
      <alignment horizontal="left"/>
    </xf>
    <xf numFmtId="0" fontId="11" fillId="0" borderId="10" xfId="1" applyFont="1" applyFill="1" applyBorder="1" applyAlignment="1" applyProtection="1">
      <alignment horizontal="left"/>
      <protection locked="0"/>
    </xf>
    <xf numFmtId="0" fontId="15" fillId="4" borderId="0" xfId="2" applyFont="1" applyBorder="1" applyAlignment="1" applyProtection="1">
      <alignment horizontal="left"/>
    </xf>
    <xf numFmtId="0" fontId="12" fillId="0" borderId="0" xfId="0" applyFont="1" applyAlignment="1">
      <alignment horizontal="left"/>
    </xf>
    <xf numFmtId="1" fontId="13" fillId="3" borderId="7" xfId="3" applyNumberFormat="1" applyFont="1" applyBorder="1" applyAlignment="1" applyProtection="1">
      <alignment horizontal="left"/>
    </xf>
    <xf numFmtId="0" fontId="16" fillId="0" borderId="0" xfId="0" applyFont="1"/>
    <xf numFmtId="0" fontId="8" fillId="0" borderId="0" xfId="0" applyFont="1" applyAlignment="1">
      <alignment vertical="center"/>
    </xf>
    <xf numFmtId="2" fontId="11" fillId="0" borderId="5" xfId="1" applyNumberFormat="1" applyFont="1" applyFill="1" applyBorder="1" applyAlignment="1" applyProtection="1">
      <alignment horizontal="left"/>
      <protection locked="0"/>
    </xf>
    <xf numFmtId="0" fontId="20" fillId="6" borderId="13" xfId="0" applyFont="1" applyFill="1" applyBorder="1"/>
    <xf numFmtId="0" fontId="20" fillId="6" borderId="12" xfId="0" applyFont="1" applyFill="1" applyBorder="1"/>
    <xf numFmtId="0" fontId="20" fillId="6" borderId="11" xfId="0" applyFont="1" applyFill="1" applyBorder="1"/>
    <xf numFmtId="166" fontId="20" fillId="6" borderId="11" xfId="0" applyNumberFormat="1" applyFont="1" applyFill="1" applyBorder="1" applyAlignment="1">
      <alignment horizontal="left"/>
    </xf>
    <xf numFmtId="166" fontId="20" fillId="6" borderId="12" xfId="0" applyNumberFormat="1" applyFont="1" applyFill="1" applyBorder="1" applyAlignment="1">
      <alignment horizontal="left"/>
    </xf>
    <xf numFmtId="0" fontId="10" fillId="0" borderId="5" xfId="0" applyFont="1" applyBorder="1" applyAlignment="1" applyProtection="1">
      <alignment horizontal="left"/>
      <protection locked="0"/>
    </xf>
    <xf numFmtId="2" fontId="20" fillId="6" borderId="12" xfId="4" applyNumberFormat="1" applyFont="1" applyFill="1" applyBorder="1" applyAlignment="1">
      <alignment horizontal="left"/>
    </xf>
    <xf numFmtId="2" fontId="0" fillId="0" borderId="0" xfId="0" applyNumberFormat="1"/>
    <xf numFmtId="164" fontId="0" fillId="0" borderId="0" xfId="0" applyNumberFormat="1"/>
    <xf numFmtId="0" fontId="19" fillId="5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9" fillId="5" borderId="0" xfId="0" applyFont="1" applyFill="1" applyAlignment="1">
      <alignment horizontal="center"/>
    </xf>
  </cellXfs>
  <cellStyles count="5">
    <cellStyle name="Check Cell" xfId="2" builtinId="23"/>
    <cellStyle name="Comma" xfId="4" builtinId="3"/>
    <cellStyle name="Input" xfId="1" builtinId="20"/>
    <cellStyle name="Normal" xfId="0" builtinId="0"/>
    <cellStyle name="Output" xfId="3" builtinId="21"/>
  </cellStyles>
  <dxfs count="5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81A16"/>
      <color rgb="FFB01814"/>
      <color rgb="FFD70C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</xdr:row>
      <xdr:rowOff>304800</xdr:rowOff>
    </xdr:from>
    <xdr:to>
      <xdr:col>5</xdr:col>
      <xdr:colOff>1228725</xdr:colOff>
      <xdr:row>3</xdr:row>
      <xdr:rowOff>152400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871"/>
        <a:stretch/>
      </xdr:blipFill>
      <xdr:spPr bwMode="auto">
        <a:xfrm>
          <a:off x="3105150" y="495300"/>
          <a:ext cx="273367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I41"/>
  <sheetViews>
    <sheetView showGridLines="0" tabSelected="1" workbookViewId="0">
      <selection activeCell="C12" sqref="C12"/>
    </sheetView>
  </sheetViews>
  <sheetFormatPr defaultRowHeight="14.5" x14ac:dyDescent="0.35"/>
  <cols>
    <col min="2" max="2" width="30.1796875" customWidth="1"/>
    <col min="3" max="3" width="24.453125" style="5" customWidth="1"/>
    <col min="4" max="4" width="4" customWidth="1"/>
    <col min="5" max="5" width="3.54296875" customWidth="1"/>
    <col min="6" max="6" width="32" customWidth="1"/>
    <col min="7" max="7" width="15.81640625" customWidth="1"/>
    <col min="8" max="8" width="7" customWidth="1"/>
  </cols>
  <sheetData>
    <row r="2" spans="2:9" ht="81.75" customHeight="1" x14ac:dyDescent="0.35">
      <c r="B2" s="6"/>
      <c r="C2" s="7"/>
      <c r="D2" s="6"/>
      <c r="E2" s="6"/>
      <c r="F2" s="6"/>
      <c r="G2" s="6"/>
      <c r="H2" s="6"/>
    </row>
    <row r="3" spans="2:9" ht="15" customHeight="1" x14ac:dyDescent="0.35">
      <c r="B3" s="6"/>
      <c r="C3" s="7"/>
      <c r="D3" s="6"/>
      <c r="E3" s="6"/>
      <c r="F3" s="6"/>
      <c r="G3" s="6"/>
      <c r="H3" s="6"/>
    </row>
    <row r="4" spans="2:9" ht="15" customHeight="1" x14ac:dyDescent="0.35">
      <c r="B4" s="6"/>
      <c r="C4" s="7"/>
      <c r="D4" s="6"/>
      <c r="E4" s="6"/>
      <c r="F4" s="6"/>
      <c r="G4" s="6"/>
      <c r="H4" s="6"/>
    </row>
    <row r="5" spans="2:9" ht="23.25" customHeight="1" x14ac:dyDescent="0.35">
      <c r="B5" s="40" t="s">
        <v>240</v>
      </c>
      <c r="C5" s="41"/>
      <c r="D5" s="41"/>
      <c r="E5" s="41"/>
      <c r="F5" s="41"/>
      <c r="G5" s="41"/>
      <c r="H5" s="41"/>
    </row>
    <row r="6" spans="2:9" ht="15" customHeight="1" x14ac:dyDescent="0.35">
      <c r="B6" s="42" t="s">
        <v>266</v>
      </c>
      <c r="C6" s="42"/>
      <c r="D6" s="42"/>
      <c r="E6" s="42"/>
      <c r="F6" s="42"/>
      <c r="G6" s="42"/>
      <c r="H6" s="42"/>
    </row>
    <row r="7" spans="2:9" ht="15" customHeight="1" x14ac:dyDescent="0.35">
      <c r="B7" s="8"/>
      <c r="C7" s="8"/>
      <c r="D7" s="8"/>
      <c r="E7" s="8"/>
      <c r="F7" s="8"/>
      <c r="G7" s="8"/>
      <c r="H7" s="8"/>
    </row>
    <row r="8" spans="2:9" ht="15" customHeight="1" x14ac:dyDescent="0.35">
      <c r="B8" s="8"/>
      <c r="C8" s="8"/>
      <c r="D8" s="8"/>
      <c r="E8" s="8"/>
      <c r="F8" s="8"/>
      <c r="G8" s="8"/>
      <c r="H8" s="8"/>
    </row>
    <row r="9" spans="2:9" x14ac:dyDescent="0.35">
      <c r="B9" s="6"/>
      <c r="C9" s="7"/>
      <c r="D9" s="6"/>
      <c r="E9" s="6"/>
      <c r="F9" s="6"/>
      <c r="G9" s="6"/>
      <c r="H9" s="6"/>
    </row>
    <row r="10" spans="2:9" ht="18" customHeight="1" thickBot="1" x14ac:dyDescent="0.4">
      <c r="B10" s="38" t="s">
        <v>13</v>
      </c>
      <c r="C10" s="38"/>
      <c r="D10" s="27"/>
      <c r="E10" s="27"/>
      <c r="F10" s="38" t="s">
        <v>247</v>
      </c>
      <c r="G10" s="38"/>
      <c r="H10" s="38"/>
    </row>
    <row r="11" spans="2:9" x14ac:dyDescent="0.35">
      <c r="B11" s="6"/>
      <c r="C11" s="7"/>
      <c r="D11" s="6"/>
      <c r="E11" s="6"/>
      <c r="F11" s="6"/>
      <c r="G11" s="9"/>
      <c r="H11" s="6"/>
    </row>
    <row r="12" spans="2:9" x14ac:dyDescent="0.35">
      <c r="B12" s="10" t="s">
        <v>14</v>
      </c>
      <c r="C12" s="11" t="s">
        <v>4</v>
      </c>
      <c r="D12" s="12"/>
      <c r="E12" s="12"/>
      <c r="F12" s="13" t="s">
        <v>68</v>
      </c>
      <c r="G12" s="14">
        <f>INDEX('B1'!T5:T61,'B1'!F14)*'B1'!F5</f>
        <v>200.00010662399998</v>
      </c>
      <c r="H12" s="29" t="str">
        <f>C13</f>
        <v>inH2O</v>
      </c>
      <c r="I12" s="15"/>
    </row>
    <row r="13" spans="2:9" x14ac:dyDescent="0.35">
      <c r="B13" s="10" t="s">
        <v>15</v>
      </c>
      <c r="C13" s="16" t="s">
        <v>12</v>
      </c>
      <c r="D13" s="12"/>
      <c r="E13" s="12"/>
      <c r="F13" s="13" t="s">
        <v>166</v>
      </c>
      <c r="G13" s="17">
        <f>INDEX('B1'!U5:U61,'B1'!F14)*'B1'!F5</f>
        <v>0.50000026655999996</v>
      </c>
      <c r="H13" s="30" t="str">
        <f>C13</f>
        <v>inH2O</v>
      </c>
      <c r="I13" s="15"/>
    </row>
    <row r="14" spans="2:9" x14ac:dyDescent="0.35">
      <c r="B14" s="10" t="s">
        <v>19</v>
      </c>
      <c r="C14" s="16">
        <v>200</v>
      </c>
      <c r="D14" s="12"/>
      <c r="E14" s="12"/>
      <c r="F14" s="13" t="s">
        <v>167</v>
      </c>
      <c r="G14" s="18">
        <f>'B1'!F16</f>
        <v>1.0000005331199999</v>
      </c>
      <c r="H14" s="30"/>
      <c r="I14" s="15"/>
    </row>
    <row r="15" spans="2:9" x14ac:dyDescent="0.35">
      <c r="B15" s="10" t="s">
        <v>18</v>
      </c>
      <c r="C15" s="16">
        <v>0</v>
      </c>
      <c r="D15" s="12"/>
      <c r="E15" s="12"/>
      <c r="F15" s="13" t="s">
        <v>70</v>
      </c>
      <c r="G15" s="18">
        <f>IF('B1'!C11=1,"N/A",'B1'!F5*INDEX('B1'!T5:T61,'B1'!F14)/INDEX('B1'!W5:W61,'B1'!F14))</f>
        <v>66.66670220799999</v>
      </c>
      <c r="H15" s="30" t="str">
        <f>C13</f>
        <v>inH2O</v>
      </c>
      <c r="I15" s="15"/>
    </row>
    <row r="16" spans="2:9" x14ac:dyDescent="0.35">
      <c r="B16" s="10" t="s">
        <v>179</v>
      </c>
      <c r="C16" s="16">
        <v>2</v>
      </c>
      <c r="D16" s="12"/>
      <c r="E16" s="12"/>
      <c r="F16" s="13" t="s">
        <v>178</v>
      </c>
      <c r="G16" s="19" t="str">
        <f>IF(AND('B1'!C11=0,'B1'!F28=1)=TRUE,"FoxCal On","FoxCal Off")</f>
        <v>FoxCal On</v>
      </c>
      <c r="H16" s="30"/>
      <c r="I16" s="15"/>
    </row>
    <row r="17" spans="2:9" x14ac:dyDescent="0.35">
      <c r="B17" s="10" t="s">
        <v>165</v>
      </c>
      <c r="C17" s="16">
        <v>250</v>
      </c>
      <c r="D17" s="12"/>
      <c r="E17" s="12"/>
      <c r="F17" s="20" t="s">
        <v>71</v>
      </c>
      <c r="G17" s="21">
        <f>IF('B1'!$C$11=1,'B1'!F37,'B1'!F40)</f>
        <v>0.1</v>
      </c>
      <c r="H17" s="30" t="str">
        <f>C13</f>
        <v>inH2O</v>
      </c>
      <c r="I17" s="15"/>
    </row>
    <row r="18" spans="2:9" x14ac:dyDescent="0.35">
      <c r="B18" s="10" t="s">
        <v>16</v>
      </c>
      <c r="C18" s="16" t="s">
        <v>48</v>
      </c>
      <c r="D18" s="12"/>
      <c r="E18" s="12"/>
      <c r="F18" s="20" t="s">
        <v>72</v>
      </c>
      <c r="G18" s="21">
        <f>IF('B1'!$C$11=1,'B1'!F38,'B1'!F41)</f>
        <v>3.3333351104E-2</v>
      </c>
      <c r="H18" s="30" t="str">
        <f>C13</f>
        <v>inH2O</v>
      </c>
      <c r="I18" s="15"/>
    </row>
    <row r="19" spans="2:9" x14ac:dyDescent="0.35">
      <c r="B19" s="10" t="s">
        <v>64</v>
      </c>
      <c r="C19" s="16" t="s">
        <v>40</v>
      </c>
      <c r="D19" s="12"/>
      <c r="E19" s="12"/>
      <c r="F19" s="20" t="s">
        <v>220</v>
      </c>
      <c r="G19" s="21">
        <f>IF('B1'!$C$11=1,'B1'!F39,'B1'!F42)</f>
        <v>3.3333351104E-2</v>
      </c>
      <c r="H19" s="30" t="str">
        <f>C13</f>
        <v>inH2O</v>
      </c>
      <c r="I19" s="15"/>
    </row>
    <row r="20" spans="2:9" x14ac:dyDescent="0.35">
      <c r="B20" s="10" t="s">
        <v>17</v>
      </c>
      <c r="C20" s="22" t="s">
        <v>42</v>
      </c>
      <c r="D20" s="12"/>
      <c r="E20" s="12"/>
      <c r="F20" s="20" t="s">
        <v>217</v>
      </c>
      <c r="G20" s="21">
        <f>SQRT((G17+INDEX('B1'!AV5:AV61,'B1'!F14))^2+(INDEX('B1'!AF5:AF61,'B1'!F14))^2+(INDEX('B1'!AH5:AH61,'B1'!F14))^2+(INDEX('B1'!AJ5:AJ61,'B1'!F14))^2+(INDEX('B1'!AN5:AN61,'B1'!F14))^2+(INDEX('B1'!AP5:AP61,'B1'!F14))^2+(INDEX('B1'!AR5:AR61,'B1'!F14))^2+(INDEX('B1'!AT5:AT61,'B1'!F14))^2+(INDEX('B1'!AW5:AW61,'B1'!F14))^2+(INDEX('B1'!AX5:AX61,'B1'!F14))^2)</f>
        <v>0.12000000000000001</v>
      </c>
      <c r="H20" s="30" t="str">
        <f>C13</f>
        <v>inH2O</v>
      </c>
      <c r="I20" s="15"/>
    </row>
    <row r="21" spans="2:9" x14ac:dyDescent="0.35">
      <c r="B21" s="10" t="s">
        <v>258</v>
      </c>
      <c r="C21" s="23" t="str">
        <f>IF('B1'!F15=1,"Error: Selections Mismatch",IF('B1'!F17=1,"Error: Range Exceeds Limits",IF('B1'!F18=1,"Error: Max Pressure Rating Exceeded",IF('B1'!F19=1,"Error: Low or Negative Range Warning",IF('B1'!F20=1,"Error: Measuring Span (URV-LRV) Below Limit",IF('B1'!F21=1,"Error: Measuring Span (URV-LRV) Above Limit","Acceptable"))))))</f>
        <v>Acceptable</v>
      </c>
      <c r="D21" s="12"/>
      <c r="E21" s="12"/>
      <c r="F21" s="20" t="s">
        <v>218</v>
      </c>
      <c r="G21" s="21">
        <f>SQRT((G18+INDEX('B1'!AV5:AV61,'B1'!F14))^2+(INDEX('B1'!AF5:AF61,'B1'!F14))^2+(INDEX('B1'!AH5:AH61,'B1'!F14))^2+(INDEX('B1'!AK5:AK61,'B1'!F14))^2+(INDEX('B1'!AN5:AN61,'B1'!F14))^2+(INDEX('B1'!AP5:AP61,'B1'!F14))^2+(INDEX('B1'!AR5:AR61,'B1'!F14))^2+(INDEX('B1'!AT5:AT61,'B1'!F14))^2+(INDEX('B1'!AW5:AW61,'B1'!F14))^2+(INDEX('B1'!AX5:AX61,'B1'!F14))^2)</f>
        <v>5.3333351104000004E-2</v>
      </c>
      <c r="H21" s="30" t="str">
        <f>C13</f>
        <v>inH2O</v>
      </c>
      <c r="I21" s="15"/>
    </row>
    <row r="22" spans="2:9" x14ac:dyDescent="0.35">
      <c r="B22" s="10" t="s">
        <v>238</v>
      </c>
      <c r="C22" s="34" t="s">
        <v>239</v>
      </c>
      <c r="D22" s="12"/>
      <c r="E22" s="12"/>
      <c r="F22" s="20" t="s">
        <v>219</v>
      </c>
      <c r="G22" s="21">
        <f>SQRT((G19+INDEX('B1'!AV5:AV61,'B1'!F14))^2+(INDEX('B1'!AF5:AF61,'B1'!F14))^2+(INDEX('B1'!AH5:AH61,'B1'!F14))^2+(INDEX('B1'!AL5:AL61,'B1'!F14))^2+(INDEX('B1'!AN5:AN61,'B1'!F14))^2+(INDEX('B1'!AP5:AP61,'B1'!F14))^2+(INDEX('B1'!AR5:AR61,'B1'!F14))^2+(INDEX('B1'!AT5:AT61,'B1'!F14))^2+(INDEX('B1'!AW5:AW61,'B1'!F14))^2+(INDEX('B1'!AX5:AX61,'B1'!F14))^2)</f>
        <v>5.3333351104000004E-2</v>
      </c>
      <c r="H22" s="30" t="str">
        <f>C13</f>
        <v>inH2O</v>
      </c>
      <c r="I22" s="15"/>
    </row>
    <row r="23" spans="2:9" x14ac:dyDescent="0.35">
      <c r="B23" s="10" t="s">
        <v>249</v>
      </c>
      <c r="C23" s="34" t="s">
        <v>251</v>
      </c>
      <c r="D23" s="12"/>
      <c r="E23" s="12"/>
      <c r="F23" s="20" t="s">
        <v>73</v>
      </c>
      <c r="G23" s="25">
        <f>INDEX('B1'!AB5:AB61,'B1'!F14)*'B1'!F5</f>
        <v>100467.7576</v>
      </c>
      <c r="H23" s="30" t="str">
        <f>C13</f>
        <v>inH2O</v>
      </c>
      <c r="I23" s="15"/>
    </row>
    <row r="24" spans="2:9" x14ac:dyDescent="0.35">
      <c r="B24" s="12"/>
      <c r="C24" s="24"/>
      <c r="D24" s="12"/>
      <c r="E24" s="12"/>
      <c r="F24" s="20" t="s">
        <v>74</v>
      </c>
      <c r="G24" s="25">
        <f>INDEX('B1'!AC5:AC61,'B1'!F14)*'B1'!F5</f>
        <v>401760.2</v>
      </c>
      <c r="H24" s="30" t="str">
        <f>C13</f>
        <v>inH2O</v>
      </c>
      <c r="I24" s="15"/>
    </row>
    <row r="25" spans="2:9" x14ac:dyDescent="0.35">
      <c r="B25" s="12"/>
      <c r="C25" s="24"/>
      <c r="D25" s="12"/>
      <c r="E25" s="12"/>
      <c r="F25" s="12"/>
      <c r="G25" s="12"/>
      <c r="H25" s="12"/>
      <c r="I25" s="15"/>
    </row>
    <row r="26" spans="2:9" x14ac:dyDescent="0.35">
      <c r="B26" s="12"/>
      <c r="C26" s="24"/>
      <c r="D26" s="12"/>
      <c r="E26" s="12"/>
      <c r="F26" s="12"/>
      <c r="G26" s="12"/>
      <c r="H26" s="12"/>
      <c r="I26" s="15"/>
    </row>
    <row r="27" spans="2:9" ht="18" customHeight="1" thickBot="1" x14ac:dyDescent="0.4">
      <c r="B27" s="38" t="s">
        <v>194</v>
      </c>
      <c r="C27" s="38"/>
      <c r="D27" s="6"/>
      <c r="E27" s="6"/>
      <c r="F27" s="43" t="s">
        <v>246</v>
      </c>
      <c r="G27" s="43"/>
      <c r="H27" s="43"/>
    </row>
    <row r="28" spans="2:9" x14ac:dyDescent="0.35">
      <c r="B28" s="6"/>
      <c r="C28" s="7"/>
      <c r="D28" s="6"/>
      <c r="E28" s="6"/>
      <c r="F28" s="6"/>
      <c r="G28" s="6"/>
      <c r="H28" s="6"/>
    </row>
    <row r="29" spans="2:9" x14ac:dyDescent="0.35">
      <c r="B29" s="10" t="s">
        <v>206</v>
      </c>
      <c r="C29" s="11" t="s">
        <v>51</v>
      </c>
      <c r="D29" s="26"/>
      <c r="E29" s="6"/>
      <c r="F29" s="10" t="s">
        <v>237</v>
      </c>
      <c r="G29" s="11">
        <v>500</v>
      </c>
      <c r="H29" s="11" t="s">
        <v>228</v>
      </c>
    </row>
    <row r="30" spans="2:9" x14ac:dyDescent="0.35">
      <c r="B30" s="10" t="s">
        <v>65</v>
      </c>
      <c r="C30" s="16">
        <v>0</v>
      </c>
      <c r="D30" s="26"/>
      <c r="E30" s="6"/>
      <c r="F30" s="10" t="s">
        <v>241</v>
      </c>
      <c r="G30" s="28">
        <v>0.6</v>
      </c>
      <c r="H30" s="31" t="s">
        <v>226</v>
      </c>
    </row>
    <row r="31" spans="2:9" x14ac:dyDescent="0.35">
      <c r="B31" s="10" t="s">
        <v>66</v>
      </c>
      <c r="C31" s="16" t="s">
        <v>52</v>
      </c>
      <c r="D31" s="26"/>
      <c r="E31" s="6"/>
      <c r="F31" s="10" t="s">
        <v>225</v>
      </c>
      <c r="G31" s="32">
        <f>(G29/SQRT(C14))*SQRT(C16)</f>
        <v>50.000000000000007</v>
      </c>
      <c r="H31" s="30" t="str">
        <f>H29</f>
        <v>GPM</v>
      </c>
    </row>
    <row r="32" spans="2:9" x14ac:dyDescent="0.35">
      <c r="B32" s="10" t="s">
        <v>205</v>
      </c>
      <c r="C32" s="16">
        <v>0</v>
      </c>
      <c r="D32" s="26"/>
      <c r="E32" s="6"/>
      <c r="F32" s="10" t="s">
        <v>233</v>
      </c>
      <c r="G32" s="33">
        <f>SQRT((G29*G30*0.01)^2+'B1'!F44^2)</f>
        <v>3.0037465359997007</v>
      </c>
      <c r="H32" s="30" t="str">
        <f>H29</f>
        <v>GPM</v>
      </c>
    </row>
    <row r="33" spans="2:8" x14ac:dyDescent="0.35">
      <c r="B33" s="10" t="s">
        <v>207</v>
      </c>
      <c r="C33" s="16">
        <v>0</v>
      </c>
      <c r="D33" s="26"/>
      <c r="E33" s="6"/>
      <c r="F33" s="10" t="s">
        <v>222</v>
      </c>
      <c r="G33" s="33">
        <f>SQRT((G29*G30*0.01)^2+'B1'!F45^2)</f>
        <v>8.6986601772916732</v>
      </c>
      <c r="H33" s="30" t="str">
        <f>H29</f>
        <v>GPM</v>
      </c>
    </row>
    <row r="34" spans="2:8" x14ac:dyDescent="0.35">
      <c r="B34" s="10" t="s">
        <v>208</v>
      </c>
      <c r="C34" s="16" t="s">
        <v>52</v>
      </c>
      <c r="D34" s="26"/>
      <c r="E34" s="6"/>
      <c r="F34" s="10" t="s">
        <v>223</v>
      </c>
      <c r="G34" s="33">
        <f>SQRT((G29*G30*0.01)^2+'B1'!F46^2)</f>
        <v>3.0722330261274697</v>
      </c>
      <c r="H34" s="30" t="str">
        <f>H29</f>
        <v>GPM</v>
      </c>
    </row>
    <row r="35" spans="2:8" x14ac:dyDescent="0.35">
      <c r="B35" s="10" t="s">
        <v>67</v>
      </c>
      <c r="C35" s="16">
        <v>0</v>
      </c>
      <c r="D35" s="26"/>
      <c r="E35" s="6"/>
      <c r="F35" s="10" t="s">
        <v>259</v>
      </c>
      <c r="G35" s="35" t="str">
        <f>FIXED('B1'!F48, 4 - INT(LOG10('B1'!F48)) - 1)</f>
        <v>4,325</v>
      </c>
      <c r="H35" s="29" t="str">
        <f>IF(OR(H29="GPM",H29="MGD")=TRUE,"Gal",IF(OR(H29="SCFM",H29="SCFH")=TRUE,"Sft^3","lb"))</f>
        <v>Gal</v>
      </c>
    </row>
    <row r="36" spans="2:8" x14ac:dyDescent="0.35">
      <c r="B36" s="10" t="s">
        <v>263</v>
      </c>
      <c r="C36" s="16">
        <v>0</v>
      </c>
      <c r="D36" s="12"/>
      <c r="E36" s="6"/>
      <c r="F36" s="10" t="s">
        <v>260</v>
      </c>
      <c r="G36" s="35" t="str">
        <f>FIXED('B1'!F49, 4 - INT(LOG10('B1'!F49)) - 1)</f>
        <v>12,530</v>
      </c>
      <c r="H36" s="29" t="str">
        <f>IF(OR(H29="GPM",H29="MGD")=TRUE,"Gal",IF(OR(H29="SCFM",H29="SCFH")=TRUE,"Sft^3","lb"))</f>
        <v>Gal</v>
      </c>
    </row>
    <row r="37" spans="2:8" x14ac:dyDescent="0.35">
      <c r="B37" s="10" t="s">
        <v>264</v>
      </c>
      <c r="C37" s="16">
        <v>0</v>
      </c>
      <c r="D37" s="12"/>
      <c r="E37" s="6"/>
      <c r="F37" s="10" t="s">
        <v>224</v>
      </c>
      <c r="G37" s="35" t="str">
        <f>FIXED('B1'!F50, 4 - INT(LOG10('B1'!F50)) - 1)</f>
        <v>4,424</v>
      </c>
      <c r="H37" s="29" t="str">
        <f>IF(OR(H29="GPM",H29="MGD")=TRUE,"Gal",IF(OR(H29="SCFM",H29="SCFH")=TRUE,"Sft^3","lb"))</f>
        <v>Gal</v>
      </c>
    </row>
    <row r="38" spans="2:8" x14ac:dyDescent="0.35">
      <c r="B38" s="12"/>
      <c r="C38" s="24"/>
      <c r="D38" s="12"/>
      <c r="E38" s="6"/>
      <c r="F38" s="6"/>
      <c r="G38" s="6"/>
      <c r="H38" s="6"/>
    </row>
    <row r="39" spans="2:8" x14ac:dyDescent="0.35">
      <c r="B39" s="12"/>
      <c r="C39" s="24"/>
      <c r="D39" s="12"/>
      <c r="E39" s="6"/>
      <c r="F39" s="6"/>
      <c r="G39" s="6"/>
      <c r="H39" s="6"/>
    </row>
    <row r="40" spans="2:8" x14ac:dyDescent="0.35">
      <c r="B40" s="12"/>
      <c r="C40" s="24"/>
      <c r="D40" s="12"/>
      <c r="E40" s="6"/>
      <c r="F40" s="6"/>
      <c r="G40" s="6"/>
      <c r="H40" s="6"/>
    </row>
    <row r="41" spans="2:8" x14ac:dyDescent="0.35">
      <c r="B41" s="39" t="s">
        <v>221</v>
      </c>
      <c r="C41" s="39"/>
      <c r="D41" s="39"/>
      <c r="E41" s="39"/>
      <c r="F41" s="39"/>
      <c r="G41" s="39"/>
      <c r="H41" s="39"/>
    </row>
  </sheetData>
  <sheetProtection algorithmName="SHA-512" hashValue="HXoY0usEO4Ey/b1CtpNy8YTHXJiVmYVKuQbmmy7Z4LwftNDTXpZ2rN0vZcf2hNRv7EMTkNRqUssJJ6LO6ZIqFg==" saltValue="o6gltvVtEAIqJDlNlSXETA==" spinCount="100000" sheet="1" selectLockedCells="1"/>
  <mergeCells count="7">
    <mergeCell ref="B10:C10"/>
    <mergeCell ref="F10:H10"/>
    <mergeCell ref="B27:C27"/>
    <mergeCell ref="B41:H41"/>
    <mergeCell ref="B5:H5"/>
    <mergeCell ref="B6:H6"/>
    <mergeCell ref="F27:H27"/>
  </mergeCells>
  <conditionalFormatting sqref="C21">
    <cfRule type="containsText" dxfId="4" priority="4" operator="containsText" text="Error">
      <formula>NOT(ISERROR(SEARCH("Error",C21)))</formula>
    </cfRule>
    <cfRule type="cellIs" dxfId="3" priority="5" operator="equal">
      <formula>"Acceptable"</formula>
    </cfRule>
  </conditionalFormatting>
  <conditionalFormatting sqref="F27:H37">
    <cfRule type="expression" dxfId="2" priority="3">
      <formula>$C$22="Pressure or Liquid Level"</formula>
    </cfRule>
  </conditionalFormatting>
  <conditionalFormatting sqref="F36 H36">
    <cfRule type="expression" dxfId="1" priority="2">
      <formula>$C$22="Standard Pressure"</formula>
    </cfRule>
  </conditionalFormatting>
  <conditionalFormatting sqref="F37:H37 G35:G36">
    <cfRule type="expression" dxfId="0" priority="1">
      <formula>$C$22="Standard Pressure"</formula>
    </cfRule>
  </conditionalFormatting>
  <dataValidations count="4">
    <dataValidation type="whole" allowBlank="1" showInputMessage="1" showErrorMessage="1" sqref="C35">
      <formula1>0</formula1>
      <formula2>10</formula2>
    </dataValidation>
    <dataValidation type="custom" errorStyle="warning" allowBlank="1" showInputMessage="1" showErrorMessage="1" error="Value must be positive." sqref="C32">
      <formula1>C32&gt;=0</formula1>
    </dataValidation>
    <dataValidation type="custom" allowBlank="1" showInputMessage="1" showErrorMessage="1" errorTitle="Must be 0 to 10 years." sqref="C30">
      <formula1>AND(C30&gt;=0,C30&lt;=10)</formula1>
    </dataValidation>
    <dataValidation type="custom" allowBlank="1" showInputMessage="1" showErrorMessage="1" errorTitle="Enter a value between 0 and 3" sqref="C33">
      <formula1>AND(C33&gt;=0,C33&lt;=3)</formula1>
    </dataValidation>
  </dataValidations>
  <pageMargins left="0.7" right="0.7" top="0.75" bottom="0.75" header="0.3" footer="0.3"/>
  <pageSetup scale="76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'B1'!$J$5:$L$5</xm:f>
          </x14:formula1>
          <xm:sqref>C12</xm:sqref>
        </x14:dataValidation>
        <x14:dataValidation type="list" allowBlank="1" showInputMessage="1" showErrorMessage="1">
          <x14:formula1>
            <xm:f>'B1'!$J$6:$L$6</xm:f>
          </x14:formula1>
          <xm:sqref>C13</xm:sqref>
        </x14:dataValidation>
        <x14:dataValidation type="list" allowBlank="1" showInputMessage="1" showErrorMessage="1">
          <x14:formula1>
            <xm:f>IF($C$12="Gauge",'B1'!$J$8:$L$8,IF($C$12="Absolute",'B1'!$J$7:$L$7,'B1'!$J$9:$L$9))</xm:f>
          </x14:formula1>
          <xm:sqref>C18</xm:sqref>
        </x14:dataValidation>
        <x14:dataValidation type="list" allowBlank="1" showInputMessage="1" showErrorMessage="1">
          <x14:formula1>
            <xm:f>IF($C$12="Differential", 'B1'!$J$11,'B1'!$J$10:$K$10)</xm:f>
          </x14:formula1>
          <xm:sqref>C19</xm:sqref>
        </x14:dataValidation>
        <x14:dataValidation type="list" allowBlank="1" showInputMessage="1" showErrorMessage="1">
          <x14:formula1>
            <xm:f>'B1'!$J$27:$K$27</xm:f>
          </x14:formula1>
          <xm:sqref>C29</xm:sqref>
        </x14:dataValidation>
        <x14:dataValidation type="list" allowBlank="1" showInputMessage="1" showErrorMessage="1">
          <x14:formula1>
            <xm:f>'B1'!$J$28:$K$28</xm:f>
          </x14:formula1>
          <xm:sqref>C31</xm:sqref>
        </x14:dataValidation>
        <x14:dataValidation type="list" allowBlank="1" showInputMessage="1" showErrorMessage="1">
          <x14:formula1>
            <xm:f>'B1'!$J$29:$K$29</xm:f>
          </x14:formula1>
          <xm:sqref>C34</xm:sqref>
        </x14:dataValidation>
        <x14:dataValidation type="list" allowBlank="1" showInputMessage="1" showErrorMessage="1">
          <x14:formula1>
            <xm:f>'B1'!$J$30:$N$30</xm:f>
          </x14:formula1>
          <xm:sqref>H29</xm:sqref>
        </x14:dataValidation>
        <x14:dataValidation type="list" allowBlank="1" showInputMessage="1" showErrorMessage="1">
          <x14:formula1>
            <xm:f>'B1'!$J$31:$K$31</xm:f>
          </x14:formula1>
          <xm:sqref>C22</xm:sqref>
        </x14:dataValidation>
        <x14:dataValidation type="list" allowBlank="1" showInputMessage="1" showErrorMessage="1">
          <x14:formula1>
            <xm:f>'B1'!$J$32:$K$32</xm:f>
          </x14:formula1>
          <xm:sqref>C23</xm:sqref>
        </x14:dataValidation>
        <x14:dataValidation type="list" allowBlank="1" showInputMessage="1" showErrorMessage="1">
          <x14:formula1>
            <xm:f>INDEX('B1'!J12:O26,MATCH(1,'B1'!H12:H26,0),0)</xm:f>
          </x14:formula1>
          <xm:sqref>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X62"/>
  <sheetViews>
    <sheetView workbookViewId="0">
      <selection activeCell="B5" sqref="B5"/>
    </sheetView>
  </sheetViews>
  <sheetFormatPr defaultRowHeight="14.5" x14ac:dyDescent="0.35"/>
  <cols>
    <col min="2" max="2" width="14.26953125" customWidth="1"/>
    <col min="5" max="5" width="24" customWidth="1"/>
    <col min="6" max="6" width="11.54296875" bestFit="1" customWidth="1"/>
    <col min="9" max="9" width="24.7265625" customWidth="1"/>
    <col min="10" max="10" width="13.54296875" customWidth="1"/>
    <col min="11" max="11" width="11.7265625" customWidth="1"/>
    <col min="12" max="12" width="12.1796875" customWidth="1"/>
    <col min="18" max="19" width="13.7265625" customWidth="1"/>
    <col min="20" max="20" width="17" customWidth="1"/>
    <col min="21" max="22" width="17.26953125" customWidth="1"/>
    <col min="23" max="23" width="23.81640625" customWidth="1"/>
    <col min="24" max="24" width="16.26953125" customWidth="1"/>
    <col min="25" max="25" width="22.26953125" customWidth="1"/>
    <col min="26" max="26" width="19.7265625" customWidth="1"/>
    <col min="27" max="27" width="18.7265625" customWidth="1"/>
    <col min="28" max="28" width="14.81640625" customWidth="1"/>
    <col min="29" max="29" width="11.453125" customWidth="1"/>
    <col min="30" max="30" width="15.54296875" customWidth="1"/>
    <col min="31" max="31" width="17.54296875" customWidth="1"/>
    <col min="32" max="32" width="13.26953125" customWidth="1"/>
    <col min="33" max="34" width="15.453125" customWidth="1"/>
    <col min="35" max="38" width="19.26953125" customWidth="1"/>
    <col min="39" max="40" width="20" customWidth="1"/>
    <col min="41" max="42" width="14.54296875" customWidth="1"/>
    <col min="47" max="47" width="16" customWidth="1"/>
    <col min="48" max="48" width="17.54296875" customWidth="1"/>
    <col min="49" max="49" width="18" customWidth="1"/>
  </cols>
  <sheetData>
    <row r="4" spans="2:50" x14ac:dyDescent="0.35">
      <c r="B4" s="1" t="s">
        <v>1</v>
      </c>
      <c r="C4" s="1" t="s">
        <v>0</v>
      </c>
      <c r="E4" s="1" t="s">
        <v>75</v>
      </c>
      <c r="F4" s="1" t="s">
        <v>76</v>
      </c>
      <c r="H4" s="4" t="s">
        <v>0</v>
      </c>
      <c r="I4" s="4" t="s">
        <v>20</v>
      </c>
      <c r="Q4" s="4" t="s">
        <v>0</v>
      </c>
      <c r="R4" s="4" t="s">
        <v>159</v>
      </c>
      <c r="S4" s="4" t="s">
        <v>146</v>
      </c>
      <c r="T4" s="4" t="s">
        <v>162</v>
      </c>
      <c r="U4" s="4" t="s">
        <v>69</v>
      </c>
      <c r="V4" s="4" t="s">
        <v>161</v>
      </c>
      <c r="W4" s="4" t="s">
        <v>147</v>
      </c>
      <c r="X4" s="4" t="s">
        <v>148</v>
      </c>
      <c r="Y4" s="4" t="s">
        <v>149</v>
      </c>
      <c r="Z4" s="4" t="s">
        <v>150</v>
      </c>
      <c r="AA4" s="4" t="s">
        <v>151</v>
      </c>
      <c r="AB4" s="4" t="s">
        <v>152</v>
      </c>
      <c r="AC4" s="4" t="s">
        <v>153</v>
      </c>
      <c r="AD4" s="4" t="s">
        <v>180</v>
      </c>
      <c r="AE4" s="4" t="s">
        <v>181</v>
      </c>
      <c r="AF4" s="4" t="s">
        <v>197</v>
      </c>
      <c r="AG4" s="4" t="s">
        <v>182</v>
      </c>
      <c r="AH4" s="4" t="s">
        <v>196</v>
      </c>
      <c r="AI4" s="4" t="s">
        <v>187</v>
      </c>
      <c r="AJ4" s="4" t="s">
        <v>199</v>
      </c>
      <c r="AK4" s="4" t="s">
        <v>200</v>
      </c>
      <c r="AL4" s="4" t="s">
        <v>201</v>
      </c>
      <c r="AM4" s="4" t="s">
        <v>183</v>
      </c>
      <c r="AN4" s="4" t="s">
        <v>198</v>
      </c>
      <c r="AO4" s="4" t="s">
        <v>184</v>
      </c>
      <c r="AP4" s="4" t="s">
        <v>202</v>
      </c>
      <c r="AQ4" s="4" t="s">
        <v>185</v>
      </c>
      <c r="AR4" s="4" t="s">
        <v>203</v>
      </c>
      <c r="AS4" s="4" t="s">
        <v>186</v>
      </c>
      <c r="AT4" s="4" t="s">
        <v>204</v>
      </c>
      <c r="AU4" s="4" t="s">
        <v>253</v>
      </c>
      <c r="AV4" s="4" t="s">
        <v>255</v>
      </c>
      <c r="AW4" s="4" t="s">
        <v>256</v>
      </c>
      <c r="AX4" s="4" t="s">
        <v>257</v>
      </c>
    </row>
    <row r="5" spans="2:50" x14ac:dyDescent="0.35">
      <c r="B5" s="2" t="s">
        <v>2</v>
      </c>
      <c r="C5">
        <f>IF('S-Series Performance Report'!C12="Absolute", 1,0)</f>
        <v>0</v>
      </c>
      <c r="E5" t="s">
        <v>77</v>
      </c>
      <c r="F5">
        <f>IF(C8=1,1,IF(C9=1,0.0689476,27.7076))</f>
        <v>27.707599999999999</v>
      </c>
      <c r="I5" s="1" t="s">
        <v>60</v>
      </c>
      <c r="J5" t="s">
        <v>2</v>
      </c>
      <c r="K5" t="s">
        <v>3</v>
      </c>
      <c r="L5" t="s">
        <v>4</v>
      </c>
      <c r="Q5">
        <f>IF(AND($C$5=1,$C$14=1,$C$11=1,$C$19=1),1,0)</f>
        <v>0</v>
      </c>
      <c r="R5" t="s">
        <v>89</v>
      </c>
      <c r="S5" t="s">
        <v>37</v>
      </c>
      <c r="T5">
        <v>200</v>
      </c>
      <c r="U5">
        <v>0.5</v>
      </c>
      <c r="V5">
        <v>0</v>
      </c>
      <c r="W5">
        <v>1</v>
      </c>
      <c r="X5">
        <v>7.4999999999999997E-2</v>
      </c>
      <c r="Y5">
        <v>7.4999999999999997E-2</v>
      </c>
      <c r="Z5">
        <v>10</v>
      </c>
      <c r="AA5">
        <v>7.4999999999999997E-3</v>
      </c>
      <c r="AB5">
        <v>300</v>
      </c>
      <c r="AC5">
        <v>800</v>
      </c>
      <c r="AD5">
        <v>0.03</v>
      </c>
      <c r="AE5">
        <v>0.06</v>
      </c>
      <c r="AF5">
        <f t="shared" ref="AF5:AF47" si="0">(AD5*T5+AE5*$F$12)*0.01*$F$5*$F$30</f>
        <v>0</v>
      </c>
      <c r="AG5">
        <v>0.05</v>
      </c>
      <c r="AH5">
        <f t="shared" ref="AH5:AH47" si="1">AG5*T5*0.01*$F$5*$F$31</f>
        <v>0</v>
      </c>
      <c r="AI5">
        <v>0</v>
      </c>
      <c r="AJ5">
        <f t="shared" ref="AJ5:AJ47" si="2">AI5*0.01*$F$6*$F$32*$F$5</f>
        <v>0</v>
      </c>
      <c r="AK5">
        <f t="shared" ref="AK5:AK47" si="3">AI5*0.01*$F$7*$F$32*$F$5</f>
        <v>0</v>
      </c>
      <c r="AL5">
        <f t="shared" ref="AL5:AL47" si="4">AI5*0.01*$F$8*$F$32*$F$5</f>
        <v>0</v>
      </c>
      <c r="AM5">
        <v>5.0000000000000001E-3</v>
      </c>
      <c r="AN5">
        <f t="shared" ref="AN5:AN47" si="5">AM5*0.01*$F$12*$F$33</f>
        <v>0</v>
      </c>
      <c r="AO5">
        <v>0.1</v>
      </c>
      <c r="AP5">
        <f t="shared" ref="AP5:AP47" si="6">AO5*T5*0.01*$F$5*$F$34</f>
        <v>0</v>
      </c>
      <c r="AQ5">
        <v>0.1</v>
      </c>
      <c r="AR5">
        <f t="shared" ref="AR5:AR47" si="7">AQ5*0.01*$F$12*$F$5*$F$35</f>
        <v>0</v>
      </c>
      <c r="AS5">
        <v>1</v>
      </c>
      <c r="AT5">
        <f t="shared" ref="AT5:AT47" si="8">AS5*0.01*$F$12*$F$5*$F$36</f>
        <v>0</v>
      </c>
      <c r="AU5">
        <v>0.01</v>
      </c>
      <c r="AV5">
        <f>AU5*$F$12*0.01*$F$5*$C$27</f>
        <v>0.02</v>
      </c>
      <c r="AW5" s="37">
        <f>'S-Series Performance Report'!$C$36*0.01*'B1'!$F$12*'B1'!$F$5*$C$27</f>
        <v>0</v>
      </c>
      <c r="AX5">
        <f>'S-Series Performance Report'!$C$37*0.01*'B1'!$F$12*'B1'!$F$5*$C$27</f>
        <v>0</v>
      </c>
    </row>
    <row r="6" spans="2:50" x14ac:dyDescent="0.35">
      <c r="B6" t="s">
        <v>3</v>
      </c>
      <c r="C6">
        <f>IF('S-Series Performance Report'!C12="Gauge", 1,0)</f>
        <v>0</v>
      </c>
      <c r="E6" t="s">
        <v>168</v>
      </c>
      <c r="F6">
        <f>'S-Series Performance Report'!C14/'B1'!$F$5</f>
        <v>7.2182361518139428</v>
      </c>
      <c r="I6" s="1" t="s">
        <v>15</v>
      </c>
      <c r="J6" t="s">
        <v>10</v>
      </c>
      <c r="K6" t="s">
        <v>11</v>
      </c>
      <c r="L6" t="s">
        <v>12</v>
      </c>
      <c r="Q6">
        <f>IF(AND($C$5=1,$C$14=1,$C$11=1,$C$20=1),1,0)</f>
        <v>0</v>
      </c>
      <c r="R6" t="s">
        <v>90</v>
      </c>
      <c r="S6" t="s">
        <v>37</v>
      </c>
      <c r="T6">
        <v>2000</v>
      </c>
      <c r="U6">
        <v>5</v>
      </c>
      <c r="V6">
        <v>0</v>
      </c>
      <c r="W6">
        <v>1</v>
      </c>
      <c r="X6">
        <v>7.4999999999999997E-2</v>
      </c>
      <c r="Y6">
        <v>7.4999999999999997E-2</v>
      </c>
      <c r="Z6">
        <v>10</v>
      </c>
      <c r="AA6">
        <v>7.4999999999999997E-3</v>
      </c>
      <c r="AB6">
        <v>3000</v>
      </c>
      <c r="AC6">
        <v>8000</v>
      </c>
      <c r="AD6">
        <v>0.03</v>
      </c>
      <c r="AE6">
        <v>0.06</v>
      </c>
      <c r="AF6">
        <f t="shared" si="0"/>
        <v>0</v>
      </c>
      <c r="AG6">
        <v>0.05</v>
      </c>
      <c r="AH6">
        <f t="shared" si="1"/>
        <v>0</v>
      </c>
      <c r="AI6">
        <v>0</v>
      </c>
      <c r="AJ6">
        <f t="shared" si="2"/>
        <v>0</v>
      </c>
      <c r="AK6">
        <f t="shared" si="3"/>
        <v>0</v>
      </c>
      <c r="AL6">
        <f t="shared" si="4"/>
        <v>0</v>
      </c>
      <c r="AM6">
        <v>5.0000000000000001E-3</v>
      </c>
      <c r="AN6">
        <f t="shared" si="5"/>
        <v>0</v>
      </c>
      <c r="AO6">
        <v>0.1</v>
      </c>
      <c r="AP6">
        <f t="shared" si="6"/>
        <v>0</v>
      </c>
      <c r="AQ6">
        <v>0.1</v>
      </c>
      <c r="AR6">
        <f t="shared" si="7"/>
        <v>0</v>
      </c>
      <c r="AS6">
        <v>1</v>
      </c>
      <c r="AT6">
        <f t="shared" si="8"/>
        <v>0</v>
      </c>
      <c r="AU6">
        <v>0.01</v>
      </c>
      <c r="AV6">
        <f t="shared" ref="AV6:AV61" si="9">AU6*$F$12*0.01*$F$5*$C$27</f>
        <v>0.02</v>
      </c>
      <c r="AW6" s="37">
        <f>'S-Series Performance Report'!$C$36*0.01*'B1'!$F$12*'B1'!$F$5*$C$27</f>
        <v>0</v>
      </c>
      <c r="AX6">
        <f>'S-Series Performance Report'!$C$37*0.01*'B1'!$F$12*'B1'!$F$5*$C$27</f>
        <v>0</v>
      </c>
    </row>
    <row r="7" spans="2:50" x14ac:dyDescent="0.35">
      <c r="B7" t="s">
        <v>4</v>
      </c>
      <c r="C7">
        <f>IF('S-Series Performance Report'!C12="Differential", 1,0)</f>
        <v>1</v>
      </c>
      <c r="E7" t="s">
        <v>169</v>
      </c>
      <c r="F7">
        <f>'S-Series Performance Report'!C15/'B1'!$F$5</f>
        <v>0</v>
      </c>
      <c r="I7" s="1" t="s">
        <v>61</v>
      </c>
      <c r="J7" t="s">
        <v>37</v>
      </c>
      <c r="K7" t="s">
        <v>46</v>
      </c>
      <c r="L7" t="s">
        <v>53</v>
      </c>
      <c r="Q7">
        <f>IF(AND($C$5=1,$C$15=1,$C$11=1,$C$17=1),1,0)</f>
        <v>0</v>
      </c>
      <c r="R7" t="s">
        <v>91</v>
      </c>
      <c r="S7" t="s">
        <v>37</v>
      </c>
      <c r="T7">
        <v>7.2182399999999998</v>
      </c>
      <c r="U7">
        <v>1.8045599999999998E-2</v>
      </c>
      <c r="V7">
        <v>0</v>
      </c>
      <c r="W7">
        <v>1</v>
      </c>
      <c r="X7">
        <v>7.4999999999999997E-2</v>
      </c>
      <c r="Y7">
        <v>7.4999999999999997E-2</v>
      </c>
      <c r="Z7">
        <v>5</v>
      </c>
      <c r="AA7">
        <v>1.4999999999999999E-2</v>
      </c>
      <c r="AB7">
        <v>3626</v>
      </c>
      <c r="AC7">
        <v>14500</v>
      </c>
      <c r="AD7">
        <v>0.04</v>
      </c>
      <c r="AE7">
        <v>0.05</v>
      </c>
      <c r="AF7">
        <f t="shared" si="0"/>
        <v>0</v>
      </c>
      <c r="AG7">
        <v>0.05</v>
      </c>
      <c r="AH7">
        <f t="shared" si="1"/>
        <v>0</v>
      </c>
      <c r="AI7">
        <v>0</v>
      </c>
      <c r="AJ7">
        <f t="shared" si="2"/>
        <v>0</v>
      </c>
      <c r="AK7">
        <f t="shared" si="3"/>
        <v>0</v>
      </c>
      <c r="AL7">
        <f t="shared" si="4"/>
        <v>0</v>
      </c>
      <c r="AM7">
        <v>5.0000000000000001E-3</v>
      </c>
      <c r="AN7">
        <f t="shared" si="5"/>
        <v>0</v>
      </c>
      <c r="AO7">
        <v>0.1</v>
      </c>
      <c r="AP7">
        <f t="shared" si="6"/>
        <v>0</v>
      </c>
      <c r="AQ7">
        <v>0.1</v>
      </c>
      <c r="AR7">
        <f t="shared" si="7"/>
        <v>0</v>
      </c>
      <c r="AS7">
        <v>1</v>
      </c>
      <c r="AT7">
        <f t="shared" si="8"/>
        <v>0</v>
      </c>
      <c r="AU7">
        <v>0.01</v>
      </c>
      <c r="AV7">
        <f t="shared" si="9"/>
        <v>0.02</v>
      </c>
      <c r="AW7" s="37">
        <f>'S-Series Performance Report'!$C$36*0.01*'B1'!$F$12*'B1'!$F$5*$C$27</f>
        <v>0</v>
      </c>
      <c r="AX7">
        <f>'S-Series Performance Report'!$C$37*0.01*'B1'!$F$12*'B1'!$F$5*$C$27</f>
        <v>0</v>
      </c>
    </row>
    <row r="8" spans="2:50" x14ac:dyDescent="0.35">
      <c r="B8" t="s">
        <v>10</v>
      </c>
      <c r="C8">
        <f>IF('S-Series Performance Report'!C13="PSI", 1,0)</f>
        <v>0</v>
      </c>
      <c r="E8" t="s">
        <v>170</v>
      </c>
      <c r="F8">
        <f>'S-Series Performance Report'!C16/'B1'!$F$5</f>
        <v>7.2182361518139435E-2</v>
      </c>
      <c r="I8" s="1" t="s">
        <v>62</v>
      </c>
      <c r="J8" t="s">
        <v>38</v>
      </c>
      <c r="K8" t="s">
        <v>47</v>
      </c>
      <c r="L8" t="s">
        <v>54</v>
      </c>
      <c r="Q8">
        <f>IF(AND($C$5=1,$C$15=1,$C$11=1,$C$18=1),1,0)</f>
        <v>0</v>
      </c>
      <c r="R8" t="s">
        <v>92</v>
      </c>
      <c r="S8" t="s">
        <v>37</v>
      </c>
      <c r="T8">
        <v>36.091200000000001</v>
      </c>
      <c r="U8">
        <v>8.9867059999999999E-2</v>
      </c>
      <c r="V8">
        <v>0</v>
      </c>
      <c r="W8">
        <v>1</v>
      </c>
      <c r="X8">
        <v>7.4999999999999997E-2</v>
      </c>
      <c r="Y8">
        <v>7.4999999999999997E-2</v>
      </c>
      <c r="Z8">
        <v>5</v>
      </c>
      <c r="AA8">
        <v>1.4999999999999999E-2</v>
      </c>
      <c r="AB8">
        <v>3626</v>
      </c>
      <c r="AC8">
        <v>14500</v>
      </c>
      <c r="AD8">
        <v>0.04</v>
      </c>
      <c r="AE8">
        <v>0.05</v>
      </c>
      <c r="AF8">
        <f t="shared" si="0"/>
        <v>0</v>
      </c>
      <c r="AG8">
        <v>0.05</v>
      </c>
      <c r="AH8">
        <f t="shared" si="1"/>
        <v>0</v>
      </c>
      <c r="AI8">
        <v>0</v>
      </c>
      <c r="AJ8">
        <f t="shared" si="2"/>
        <v>0</v>
      </c>
      <c r="AK8">
        <f t="shared" si="3"/>
        <v>0</v>
      </c>
      <c r="AL8">
        <f t="shared" si="4"/>
        <v>0</v>
      </c>
      <c r="AM8">
        <v>5.0000000000000001E-3</v>
      </c>
      <c r="AN8">
        <f t="shared" si="5"/>
        <v>0</v>
      </c>
      <c r="AO8">
        <v>0.1</v>
      </c>
      <c r="AP8">
        <f t="shared" si="6"/>
        <v>0</v>
      </c>
      <c r="AQ8">
        <v>0.1</v>
      </c>
      <c r="AR8">
        <f t="shared" si="7"/>
        <v>0</v>
      </c>
      <c r="AS8">
        <v>1</v>
      </c>
      <c r="AT8">
        <f t="shared" si="8"/>
        <v>0</v>
      </c>
      <c r="AU8">
        <v>0.01</v>
      </c>
      <c r="AV8">
        <f t="shared" si="9"/>
        <v>0.02</v>
      </c>
      <c r="AW8" s="37">
        <f>'S-Series Performance Report'!$C$36*0.01*'B1'!$F$12*'B1'!$F$5*$C$27</f>
        <v>0</v>
      </c>
      <c r="AX8">
        <f>'S-Series Performance Report'!$C$37*0.01*'B1'!$F$12*'B1'!$F$5*$C$27</f>
        <v>0</v>
      </c>
    </row>
    <row r="9" spans="2:50" x14ac:dyDescent="0.35">
      <c r="B9" t="s">
        <v>11</v>
      </c>
      <c r="C9">
        <f>IF('S-Series Performance Report'!C13="BAR", 1,0)</f>
        <v>0</v>
      </c>
      <c r="E9" t="s">
        <v>171</v>
      </c>
      <c r="F9">
        <f>'S-Series Performance Report'!C17/'B1'!$F$5</f>
        <v>9.0227951897674288</v>
      </c>
      <c r="I9" s="1" t="s">
        <v>63</v>
      </c>
      <c r="J9" t="s">
        <v>39</v>
      </c>
      <c r="K9" t="s">
        <v>48</v>
      </c>
      <c r="L9" t="s">
        <v>55</v>
      </c>
      <c r="Q9">
        <f>IF(AND($C$5=1,$C$15=1,$C$11=1,$C$19=1),1,0)</f>
        <v>0</v>
      </c>
      <c r="R9" t="s">
        <v>93</v>
      </c>
      <c r="S9" t="s">
        <v>37</v>
      </c>
      <c r="T9">
        <v>300</v>
      </c>
      <c r="U9">
        <v>3.75</v>
      </c>
      <c r="V9">
        <v>0</v>
      </c>
      <c r="W9">
        <v>1</v>
      </c>
      <c r="X9">
        <v>7.4999999999999997E-2</v>
      </c>
      <c r="Y9">
        <v>7.4999999999999997E-2</v>
      </c>
      <c r="Z9">
        <v>10</v>
      </c>
      <c r="AA9">
        <v>7.4999999999999997E-3</v>
      </c>
      <c r="AB9">
        <v>3626</v>
      </c>
      <c r="AC9">
        <v>14500</v>
      </c>
      <c r="AD9">
        <v>0.04</v>
      </c>
      <c r="AE9">
        <v>0.05</v>
      </c>
      <c r="AF9">
        <f t="shared" si="0"/>
        <v>0</v>
      </c>
      <c r="AG9">
        <v>0.05</v>
      </c>
      <c r="AH9">
        <f t="shared" si="1"/>
        <v>0</v>
      </c>
      <c r="AI9">
        <v>0</v>
      </c>
      <c r="AJ9">
        <f t="shared" si="2"/>
        <v>0</v>
      </c>
      <c r="AK9">
        <f t="shared" si="3"/>
        <v>0</v>
      </c>
      <c r="AL9">
        <f t="shared" si="4"/>
        <v>0</v>
      </c>
      <c r="AM9">
        <v>5.0000000000000001E-3</v>
      </c>
      <c r="AN9">
        <f t="shared" si="5"/>
        <v>0</v>
      </c>
      <c r="AO9">
        <v>0.1</v>
      </c>
      <c r="AP9">
        <f t="shared" si="6"/>
        <v>0</v>
      </c>
      <c r="AQ9">
        <v>0.1</v>
      </c>
      <c r="AR9">
        <f t="shared" si="7"/>
        <v>0</v>
      </c>
      <c r="AS9">
        <v>1</v>
      </c>
      <c r="AT9">
        <f t="shared" si="8"/>
        <v>0</v>
      </c>
      <c r="AU9">
        <v>0.01</v>
      </c>
      <c r="AV9">
        <f t="shared" si="9"/>
        <v>0.02</v>
      </c>
      <c r="AW9" s="37">
        <f>'S-Series Performance Report'!$C$36*0.01*'B1'!$F$12*'B1'!$F$5*$C$27</f>
        <v>0</v>
      </c>
      <c r="AX9">
        <f>'S-Series Performance Report'!$C$37*0.01*'B1'!$F$12*'B1'!$F$5*$C$27</f>
        <v>0</v>
      </c>
    </row>
    <row r="10" spans="2:50" x14ac:dyDescent="0.35">
      <c r="B10" t="s">
        <v>12</v>
      </c>
      <c r="C10">
        <f>IF('S-Series Performance Report'!C13="inH2O", 1,0)</f>
        <v>1</v>
      </c>
      <c r="E10" t="s">
        <v>78</v>
      </c>
      <c r="F10">
        <f>MAX(F6:F7)</f>
        <v>7.2182361518139428</v>
      </c>
      <c r="I10" s="1" t="s">
        <v>21</v>
      </c>
      <c r="J10" t="s">
        <v>8</v>
      </c>
      <c r="K10" t="s">
        <v>40</v>
      </c>
      <c r="Q10">
        <f>IF(AND($C$5=1,$C$15=1,$C$11=1,$C$20=1),1,0)</f>
        <v>0</v>
      </c>
      <c r="R10" t="s">
        <v>94</v>
      </c>
      <c r="S10" t="s">
        <v>37</v>
      </c>
      <c r="T10">
        <v>3000</v>
      </c>
      <c r="U10">
        <v>37.5</v>
      </c>
      <c r="V10">
        <v>0</v>
      </c>
      <c r="W10">
        <v>1</v>
      </c>
      <c r="X10">
        <v>7.4999999999999997E-2</v>
      </c>
      <c r="Y10">
        <v>7.4999999999999997E-2</v>
      </c>
      <c r="Z10">
        <v>5</v>
      </c>
      <c r="AA10">
        <v>1.4999999999999999E-2</v>
      </c>
      <c r="AB10">
        <v>3626</v>
      </c>
      <c r="AC10">
        <v>14500</v>
      </c>
      <c r="AD10">
        <v>0.08</v>
      </c>
      <c r="AE10">
        <v>0.25</v>
      </c>
      <c r="AF10">
        <f t="shared" si="0"/>
        <v>0</v>
      </c>
      <c r="AG10">
        <v>0.05</v>
      </c>
      <c r="AH10">
        <f t="shared" si="1"/>
        <v>0</v>
      </c>
      <c r="AI10">
        <v>0</v>
      </c>
      <c r="AJ10">
        <f t="shared" si="2"/>
        <v>0</v>
      </c>
      <c r="AK10">
        <f t="shared" si="3"/>
        <v>0</v>
      </c>
      <c r="AL10">
        <f t="shared" si="4"/>
        <v>0</v>
      </c>
      <c r="AM10">
        <v>5.0000000000000001E-3</v>
      </c>
      <c r="AN10">
        <f t="shared" si="5"/>
        <v>0</v>
      </c>
      <c r="AO10">
        <v>0.1</v>
      </c>
      <c r="AP10">
        <f t="shared" si="6"/>
        <v>0</v>
      </c>
      <c r="AQ10">
        <v>0.1</v>
      </c>
      <c r="AR10">
        <f t="shared" si="7"/>
        <v>0</v>
      </c>
      <c r="AS10">
        <v>1</v>
      </c>
      <c r="AT10">
        <f t="shared" si="8"/>
        <v>0</v>
      </c>
      <c r="AU10">
        <v>0.01</v>
      </c>
      <c r="AV10">
        <f t="shared" si="9"/>
        <v>0.02</v>
      </c>
      <c r="AW10" s="37">
        <f>'S-Series Performance Report'!$C$36*0.01*'B1'!$F$12*'B1'!$F$5*$C$27</f>
        <v>0</v>
      </c>
      <c r="AX10">
        <f>'S-Series Performance Report'!$C$37*0.01*'B1'!$F$12*'B1'!$F$5*$C$27</f>
        <v>0</v>
      </c>
    </row>
    <row r="11" spans="2:50" x14ac:dyDescent="0.35">
      <c r="B11" t="s">
        <v>5</v>
      </c>
      <c r="C11">
        <f>IF(OR('S-Series Performance Report'!$C$18="IAP05S",'S-Series Performance Report'!$C$18="IGP05S",'S-Series Performance Report'!$C$18="IDP05S")=TRUE,1,0)</f>
        <v>0</v>
      </c>
      <c r="E11" t="s">
        <v>79</v>
      </c>
      <c r="F11">
        <f>MIN(F6:F7)</f>
        <v>0</v>
      </c>
      <c r="I11" s="1" t="s">
        <v>22</v>
      </c>
      <c r="J11" t="s">
        <v>40</v>
      </c>
      <c r="Q11">
        <f>IF(AND($C$6=1,$C$14=1,$C$11=1,$C$19=1),1,0)</f>
        <v>0</v>
      </c>
      <c r="R11" t="s">
        <v>95</v>
      </c>
      <c r="S11" t="s">
        <v>38</v>
      </c>
      <c r="T11">
        <v>200</v>
      </c>
      <c r="U11">
        <v>0.5</v>
      </c>
      <c r="V11">
        <v>0</v>
      </c>
      <c r="W11">
        <v>1</v>
      </c>
      <c r="X11">
        <v>7.4999999999999997E-2</v>
      </c>
      <c r="Y11">
        <v>7.4999999999999997E-2</v>
      </c>
      <c r="Z11">
        <v>10</v>
      </c>
      <c r="AA11">
        <v>7.4999999999999997E-3</v>
      </c>
      <c r="AB11">
        <v>300</v>
      </c>
      <c r="AC11">
        <v>800</v>
      </c>
      <c r="AD11">
        <v>0.03</v>
      </c>
      <c r="AE11">
        <v>0.06</v>
      </c>
      <c r="AF11">
        <f t="shared" si="0"/>
        <v>0</v>
      </c>
      <c r="AG11">
        <v>0.05</v>
      </c>
      <c r="AH11">
        <f t="shared" si="1"/>
        <v>0</v>
      </c>
      <c r="AI11">
        <v>0</v>
      </c>
      <c r="AJ11">
        <f t="shared" si="2"/>
        <v>0</v>
      </c>
      <c r="AK11">
        <f t="shared" si="3"/>
        <v>0</v>
      </c>
      <c r="AL11">
        <f t="shared" si="4"/>
        <v>0</v>
      </c>
      <c r="AM11">
        <v>5.0000000000000001E-3</v>
      </c>
      <c r="AN11">
        <f t="shared" si="5"/>
        <v>0</v>
      </c>
      <c r="AO11">
        <v>0.1</v>
      </c>
      <c r="AP11">
        <f t="shared" si="6"/>
        <v>0</v>
      </c>
      <c r="AQ11">
        <v>0.1</v>
      </c>
      <c r="AR11">
        <f t="shared" si="7"/>
        <v>0</v>
      </c>
      <c r="AS11">
        <v>1</v>
      </c>
      <c r="AT11">
        <f t="shared" si="8"/>
        <v>0</v>
      </c>
      <c r="AU11">
        <v>0.01</v>
      </c>
      <c r="AV11">
        <f t="shared" si="9"/>
        <v>0.02</v>
      </c>
      <c r="AW11" s="37">
        <f>'S-Series Performance Report'!$C$36*0.01*'B1'!$F$12*'B1'!$F$5*$C$27</f>
        <v>0</v>
      </c>
      <c r="AX11">
        <f>'S-Series Performance Report'!$C$37*0.01*'B1'!$F$12*'B1'!$F$5*$C$27</f>
        <v>0</v>
      </c>
    </row>
    <row r="12" spans="2:50" x14ac:dyDescent="0.35">
      <c r="B12" t="s">
        <v>6</v>
      </c>
      <c r="C12">
        <f>IF(OR('S-Series Performance Report'!$C$18="IAP10S",'S-Series Performance Report'!$C$18="IGP10S",'S-Series Performance Report'!$C$18="IDP10S")=TRUE,1,0)</f>
        <v>1</v>
      </c>
      <c r="E12" t="s">
        <v>195</v>
      </c>
      <c r="F12">
        <f>F10-F11</f>
        <v>7.2182361518139428</v>
      </c>
      <c r="H12">
        <f>IF(AND(C5=1,C11=1,C14=1)=TRUE,1,0)</f>
        <v>0</v>
      </c>
      <c r="I12" s="1" t="s">
        <v>23</v>
      </c>
      <c r="J12" t="s">
        <v>41</v>
      </c>
      <c r="K12" t="s">
        <v>49</v>
      </c>
      <c r="Q12">
        <f>IF(AND($C$6=1,$C$14=1,$C$11=1,$C$20=1),1,0)</f>
        <v>0</v>
      </c>
      <c r="R12" t="s">
        <v>96</v>
      </c>
      <c r="S12" t="s">
        <v>38</v>
      </c>
      <c r="T12">
        <v>2000</v>
      </c>
      <c r="U12">
        <v>0.5</v>
      </c>
      <c r="V12">
        <v>0</v>
      </c>
      <c r="W12">
        <v>1</v>
      </c>
      <c r="X12">
        <v>7.4999999999999997E-2</v>
      </c>
      <c r="Y12">
        <v>7.4999999999999997E-2</v>
      </c>
      <c r="Z12">
        <v>10</v>
      </c>
      <c r="AA12">
        <v>7.4999999999999997E-3</v>
      </c>
      <c r="AB12">
        <v>3000</v>
      </c>
      <c r="AC12">
        <v>8000</v>
      </c>
      <c r="AD12">
        <v>0.03</v>
      </c>
      <c r="AE12">
        <v>0.06</v>
      </c>
      <c r="AF12">
        <f t="shared" si="0"/>
        <v>0</v>
      </c>
      <c r="AG12">
        <v>0.05</v>
      </c>
      <c r="AH12">
        <f t="shared" si="1"/>
        <v>0</v>
      </c>
      <c r="AI12">
        <v>0</v>
      </c>
      <c r="AJ12">
        <f t="shared" si="2"/>
        <v>0</v>
      </c>
      <c r="AK12">
        <f t="shared" si="3"/>
        <v>0</v>
      </c>
      <c r="AL12">
        <f t="shared" si="4"/>
        <v>0</v>
      </c>
      <c r="AM12">
        <v>5.0000000000000001E-3</v>
      </c>
      <c r="AN12">
        <f t="shared" si="5"/>
        <v>0</v>
      </c>
      <c r="AO12">
        <v>0.1</v>
      </c>
      <c r="AP12">
        <f t="shared" si="6"/>
        <v>0</v>
      </c>
      <c r="AQ12">
        <v>0.1</v>
      </c>
      <c r="AR12">
        <f t="shared" si="7"/>
        <v>0</v>
      </c>
      <c r="AS12">
        <v>1</v>
      </c>
      <c r="AT12">
        <f t="shared" si="8"/>
        <v>0</v>
      </c>
      <c r="AU12">
        <v>0.01</v>
      </c>
      <c r="AV12">
        <f t="shared" si="9"/>
        <v>0.02</v>
      </c>
      <c r="AW12" s="37">
        <f>'S-Series Performance Report'!$C$36*0.01*'B1'!$F$12*'B1'!$F$5*$C$27</f>
        <v>0</v>
      </c>
      <c r="AX12">
        <f>'S-Series Performance Report'!$C$37*0.01*'B1'!$F$12*'B1'!$F$5*$C$27</f>
        <v>0</v>
      </c>
    </row>
    <row r="13" spans="2:50" x14ac:dyDescent="0.35">
      <c r="B13" t="s">
        <v>7</v>
      </c>
      <c r="C13">
        <f>IF(OR('S-Series Performance Report'!$C$18="IAP50S",'S-Series Performance Report'!$C$18="IGP50S",'S-Series Performance Report'!$C$18="IDP50S")=TRUE,1,0)</f>
        <v>0</v>
      </c>
      <c r="E13" t="s">
        <v>85</v>
      </c>
      <c r="F13">
        <f>MATCH(1,H12:H26,0)</f>
        <v>10</v>
      </c>
      <c r="H13">
        <f>IF(AND(C5=1,C11=1,C15=1)=TRUE,1,0)</f>
        <v>0</v>
      </c>
      <c r="I13" s="1" t="s">
        <v>24</v>
      </c>
      <c r="J13" t="s">
        <v>42</v>
      </c>
      <c r="K13" t="s">
        <v>50</v>
      </c>
      <c r="L13" t="s">
        <v>41</v>
      </c>
      <c r="M13" t="s">
        <v>49</v>
      </c>
      <c r="Q13">
        <f>IF(AND($C$6=1,$C$14=1,$C$11=1,$C$21=1),1,0)</f>
        <v>0</v>
      </c>
      <c r="R13" t="s">
        <v>97</v>
      </c>
      <c r="S13" t="s">
        <v>38</v>
      </c>
      <c r="T13">
        <v>6000</v>
      </c>
      <c r="U13">
        <v>75</v>
      </c>
      <c r="V13">
        <v>0</v>
      </c>
      <c r="W13">
        <v>1</v>
      </c>
      <c r="X13">
        <v>7.4999999999999997E-2</v>
      </c>
      <c r="Y13">
        <v>7.4999999999999997E-2</v>
      </c>
      <c r="Z13">
        <v>5</v>
      </c>
      <c r="AA13">
        <v>1.5E-3</v>
      </c>
      <c r="AB13">
        <v>8580</v>
      </c>
      <c r="AC13">
        <v>24000</v>
      </c>
      <c r="AD13">
        <v>0.03</v>
      </c>
      <c r="AE13">
        <v>0.06</v>
      </c>
      <c r="AF13">
        <f t="shared" si="0"/>
        <v>0</v>
      </c>
      <c r="AG13">
        <v>0.05</v>
      </c>
      <c r="AH13">
        <f t="shared" si="1"/>
        <v>0</v>
      </c>
      <c r="AI13">
        <v>0</v>
      </c>
      <c r="AJ13">
        <f t="shared" si="2"/>
        <v>0</v>
      </c>
      <c r="AK13">
        <f t="shared" si="3"/>
        <v>0</v>
      </c>
      <c r="AL13">
        <f t="shared" si="4"/>
        <v>0</v>
      </c>
      <c r="AM13">
        <v>5.0000000000000001E-3</v>
      </c>
      <c r="AN13">
        <f t="shared" si="5"/>
        <v>0</v>
      </c>
      <c r="AO13">
        <v>0.1</v>
      </c>
      <c r="AP13">
        <f t="shared" si="6"/>
        <v>0</v>
      </c>
      <c r="AQ13">
        <v>0.1</v>
      </c>
      <c r="AR13">
        <f t="shared" si="7"/>
        <v>0</v>
      </c>
      <c r="AS13">
        <v>1</v>
      </c>
      <c r="AT13">
        <f t="shared" si="8"/>
        <v>0</v>
      </c>
      <c r="AU13">
        <v>0.01</v>
      </c>
      <c r="AV13">
        <f t="shared" si="9"/>
        <v>0.02</v>
      </c>
      <c r="AW13" s="37">
        <f>'S-Series Performance Report'!$C$36*0.01*'B1'!$F$12*'B1'!$F$5*$C$27</f>
        <v>0</v>
      </c>
      <c r="AX13">
        <f>'S-Series Performance Report'!$C$37*0.01*'B1'!$F$12*'B1'!$F$5*$C$27</f>
        <v>0</v>
      </c>
    </row>
    <row r="14" spans="2:50" x14ac:dyDescent="0.35">
      <c r="B14" t="s">
        <v>8</v>
      </c>
      <c r="C14">
        <f>IF('S-Series Performance Report'!C19="Direct Connect",1,0)</f>
        <v>0</v>
      </c>
      <c r="E14" t="s">
        <v>157</v>
      </c>
      <c r="F14">
        <f>MATCH(1,Q5:Q62,0)</f>
        <v>36</v>
      </c>
      <c r="H14">
        <f>IF(AND(C6=1,C11=1,C14=1)=TRUE,1,0)</f>
        <v>0</v>
      </c>
      <c r="I14" s="1" t="s">
        <v>25</v>
      </c>
      <c r="J14" t="s">
        <v>41</v>
      </c>
      <c r="K14" t="s">
        <v>49</v>
      </c>
      <c r="L14" t="s">
        <v>56</v>
      </c>
      <c r="M14" t="s">
        <v>57</v>
      </c>
      <c r="N14" t="s">
        <v>58</v>
      </c>
      <c r="O14" t="s">
        <v>59</v>
      </c>
      <c r="Q14">
        <f>IF(AND($C$6=1,$C$14=1,$C$11=1,$C$25=1),1,0)</f>
        <v>0</v>
      </c>
      <c r="R14" t="s">
        <v>98</v>
      </c>
      <c r="S14" t="s">
        <v>38</v>
      </c>
      <c r="T14">
        <v>10000</v>
      </c>
      <c r="U14">
        <v>1000</v>
      </c>
      <c r="V14">
        <v>0</v>
      </c>
      <c r="W14">
        <v>1</v>
      </c>
      <c r="X14">
        <v>7.4999999999999997E-2</v>
      </c>
      <c r="Y14">
        <v>7.4999999999999997E-2</v>
      </c>
      <c r="Z14">
        <v>3</v>
      </c>
      <c r="AA14">
        <v>2.5000000000000001E-2</v>
      </c>
      <c r="AB14">
        <v>14300</v>
      </c>
      <c r="AC14">
        <v>26015</v>
      </c>
      <c r="AD14">
        <v>0.08</v>
      </c>
      <c r="AE14">
        <v>2.5000000000000001E-2</v>
      </c>
      <c r="AF14">
        <f t="shared" si="0"/>
        <v>0</v>
      </c>
      <c r="AG14">
        <v>0.05</v>
      </c>
      <c r="AH14">
        <f t="shared" si="1"/>
        <v>0</v>
      </c>
      <c r="AI14">
        <v>0</v>
      </c>
      <c r="AJ14">
        <f t="shared" si="2"/>
        <v>0</v>
      </c>
      <c r="AK14">
        <f t="shared" si="3"/>
        <v>0</v>
      </c>
      <c r="AL14">
        <f t="shared" si="4"/>
        <v>0</v>
      </c>
      <c r="AM14">
        <v>5.0000000000000001E-3</v>
      </c>
      <c r="AN14">
        <f t="shared" si="5"/>
        <v>0</v>
      </c>
      <c r="AO14">
        <v>0.1</v>
      </c>
      <c r="AP14">
        <f t="shared" si="6"/>
        <v>0</v>
      </c>
      <c r="AQ14">
        <v>0.1</v>
      </c>
      <c r="AR14">
        <f t="shared" si="7"/>
        <v>0</v>
      </c>
      <c r="AS14">
        <v>1</v>
      </c>
      <c r="AT14">
        <f t="shared" si="8"/>
        <v>0</v>
      </c>
      <c r="AU14">
        <v>0.01</v>
      </c>
      <c r="AV14">
        <f t="shared" si="9"/>
        <v>0.02</v>
      </c>
      <c r="AW14" s="37">
        <f>'S-Series Performance Report'!$C$36*0.01*'B1'!$F$12*'B1'!$F$5*$C$27</f>
        <v>0</v>
      </c>
      <c r="AX14">
        <f>'S-Series Performance Report'!$C$37*0.01*'B1'!$F$12*'B1'!$F$5*$C$27</f>
        <v>0</v>
      </c>
    </row>
    <row r="15" spans="2:50" x14ac:dyDescent="0.35">
      <c r="B15" t="s">
        <v>9</v>
      </c>
      <c r="C15">
        <f>IF('S-Series Performance Report'!C19="Biplanar or Low-Profile",1,0)</f>
        <v>1</v>
      </c>
      <c r="E15" t="s">
        <v>160</v>
      </c>
      <c r="F15">
        <f>IF(C26=INDEX(S5:S62,F14),0,1)</f>
        <v>0</v>
      </c>
      <c r="H15">
        <f>IF(AND(C6=1,C11=1,C15=1)=TRUE,1,0)</f>
        <v>0</v>
      </c>
      <c r="I15" s="1" t="s">
        <v>26</v>
      </c>
      <c r="J15" t="s">
        <v>42</v>
      </c>
      <c r="K15" t="s">
        <v>50</v>
      </c>
      <c r="L15" t="s">
        <v>41</v>
      </c>
      <c r="M15" t="s">
        <v>49</v>
      </c>
      <c r="N15" t="s">
        <v>56</v>
      </c>
      <c r="Q15">
        <f>IF(AND($C$6=1,$C$14=1,$C$11=1,$C$22=1),1,0)</f>
        <v>0</v>
      </c>
      <c r="R15" t="s">
        <v>99</v>
      </c>
      <c r="S15" t="s">
        <v>38</v>
      </c>
      <c r="T15">
        <v>15000</v>
      </c>
      <c r="U15">
        <v>5000</v>
      </c>
      <c r="V15">
        <v>0</v>
      </c>
      <c r="W15">
        <v>1</v>
      </c>
      <c r="X15">
        <v>0.2</v>
      </c>
      <c r="Y15">
        <v>0.2</v>
      </c>
      <c r="Z15">
        <v>3</v>
      </c>
      <c r="AA15">
        <f>0.2/3</f>
        <v>6.6666666666666666E-2</v>
      </c>
      <c r="AB15">
        <v>19500</v>
      </c>
      <c r="AC15">
        <v>45000</v>
      </c>
      <c r="AD15">
        <v>0.08</v>
      </c>
      <c r="AE15">
        <v>2.5000000000000001E-2</v>
      </c>
      <c r="AF15">
        <f t="shared" si="0"/>
        <v>0</v>
      </c>
      <c r="AG15">
        <v>0.05</v>
      </c>
      <c r="AH15">
        <f t="shared" si="1"/>
        <v>0</v>
      </c>
      <c r="AI15">
        <v>0</v>
      </c>
      <c r="AJ15">
        <f t="shared" si="2"/>
        <v>0</v>
      </c>
      <c r="AK15">
        <f t="shared" si="3"/>
        <v>0</v>
      </c>
      <c r="AL15">
        <f t="shared" si="4"/>
        <v>0</v>
      </c>
      <c r="AM15">
        <v>5.0000000000000001E-3</v>
      </c>
      <c r="AN15">
        <f t="shared" si="5"/>
        <v>0</v>
      </c>
      <c r="AO15">
        <v>0.1</v>
      </c>
      <c r="AP15">
        <f t="shared" si="6"/>
        <v>0</v>
      </c>
      <c r="AQ15">
        <v>0.1</v>
      </c>
      <c r="AR15">
        <f t="shared" si="7"/>
        <v>0</v>
      </c>
      <c r="AS15">
        <v>1</v>
      </c>
      <c r="AT15">
        <f t="shared" si="8"/>
        <v>0</v>
      </c>
      <c r="AU15">
        <v>0.01</v>
      </c>
      <c r="AV15">
        <f t="shared" si="9"/>
        <v>0.02</v>
      </c>
      <c r="AW15" s="37">
        <f>'S-Series Performance Report'!$C$36*0.01*'B1'!$F$12*'B1'!$F$5*$C$27</f>
        <v>0</v>
      </c>
      <c r="AX15">
        <f>'S-Series Performance Report'!$C$37*0.01*'B1'!$F$12*'B1'!$F$5*$C$27</f>
        <v>0</v>
      </c>
    </row>
    <row r="16" spans="2:50" x14ac:dyDescent="0.35">
      <c r="B16" t="s">
        <v>155</v>
      </c>
      <c r="C16">
        <f>IF('S-Series Performance Report'!$C$20="A",1,0)</f>
        <v>0</v>
      </c>
      <c r="E16" t="s">
        <v>86</v>
      </c>
      <c r="F16">
        <f>INDEX(T5:T61,F14)/F12</f>
        <v>1.0000005331199999</v>
      </c>
      <c r="H16">
        <f>IF(AND(C7=1,C11=1)=TRUE,1,0)</f>
        <v>0</v>
      </c>
      <c r="I16" s="1" t="s">
        <v>27</v>
      </c>
      <c r="J16" t="s">
        <v>42</v>
      </c>
      <c r="K16" t="s">
        <v>50</v>
      </c>
      <c r="L16" t="s">
        <v>41</v>
      </c>
      <c r="M16" t="s">
        <v>49</v>
      </c>
      <c r="Q16">
        <f>IF(AND($C$6=1,$C$14=1,$C$11=1,$C$23=1),1,0)</f>
        <v>0</v>
      </c>
      <c r="R16" t="s">
        <v>100</v>
      </c>
      <c r="S16" t="s">
        <v>38</v>
      </c>
      <c r="T16">
        <v>30000</v>
      </c>
      <c r="U16">
        <v>10000</v>
      </c>
      <c r="V16">
        <v>0</v>
      </c>
      <c r="W16">
        <v>1</v>
      </c>
      <c r="X16">
        <v>0.2</v>
      </c>
      <c r="Y16">
        <v>0.2</v>
      </c>
      <c r="Z16">
        <v>3</v>
      </c>
      <c r="AA16">
        <f>0.2/3</f>
        <v>6.6666666666666666E-2</v>
      </c>
      <c r="AB16">
        <v>33000</v>
      </c>
      <c r="AC16">
        <v>81000</v>
      </c>
      <c r="AD16">
        <v>0.08</v>
      </c>
      <c r="AE16">
        <v>2.5000000000000001E-2</v>
      </c>
      <c r="AF16">
        <f t="shared" si="0"/>
        <v>0</v>
      </c>
      <c r="AG16">
        <v>0.05</v>
      </c>
      <c r="AH16">
        <f t="shared" si="1"/>
        <v>0</v>
      </c>
      <c r="AI16">
        <v>0</v>
      </c>
      <c r="AJ16">
        <f t="shared" si="2"/>
        <v>0</v>
      </c>
      <c r="AK16">
        <f t="shared" si="3"/>
        <v>0</v>
      </c>
      <c r="AL16">
        <f t="shared" si="4"/>
        <v>0</v>
      </c>
      <c r="AM16">
        <v>5.0000000000000001E-3</v>
      </c>
      <c r="AN16">
        <f t="shared" si="5"/>
        <v>0</v>
      </c>
      <c r="AO16">
        <v>0.1</v>
      </c>
      <c r="AP16">
        <f t="shared" si="6"/>
        <v>0</v>
      </c>
      <c r="AQ16">
        <v>0.1</v>
      </c>
      <c r="AR16">
        <f t="shared" si="7"/>
        <v>0</v>
      </c>
      <c r="AS16">
        <v>1</v>
      </c>
      <c r="AT16">
        <f t="shared" si="8"/>
        <v>0</v>
      </c>
      <c r="AU16">
        <v>0.01</v>
      </c>
      <c r="AV16">
        <f t="shared" si="9"/>
        <v>0.02</v>
      </c>
      <c r="AW16" s="37">
        <f>'S-Series Performance Report'!$C$36*0.01*'B1'!$F$12*'B1'!$F$5*$C$27</f>
        <v>0</v>
      </c>
      <c r="AX16">
        <f>'S-Series Performance Report'!$C$37*0.01*'B1'!$F$12*'B1'!$F$5*$C$27</f>
        <v>0</v>
      </c>
    </row>
    <row r="17" spans="2:50" x14ac:dyDescent="0.35">
      <c r="B17" t="s">
        <v>42</v>
      </c>
      <c r="C17">
        <f>IF('S-Series Performance Report'!$C$20="B",1,0)</f>
        <v>1</v>
      </c>
      <c r="E17" t="s">
        <v>88</v>
      </c>
      <c r="F17">
        <f>IF(F10&gt;INDEX('B1'!T5:T61,'B1'!F14),1,0)</f>
        <v>0</v>
      </c>
      <c r="H17">
        <f>IF(AND(C5=1,C12=1,C14=1)=TRUE,1,0)</f>
        <v>0</v>
      </c>
      <c r="I17" s="1" t="s">
        <v>28</v>
      </c>
      <c r="J17" t="s">
        <v>41</v>
      </c>
      <c r="K17" t="s">
        <v>49</v>
      </c>
      <c r="Q17">
        <f>IF(AND($C$6=1,$C$15=1,$C$11=1,$C$17=1),1,0)</f>
        <v>0</v>
      </c>
      <c r="R17" t="s">
        <v>101</v>
      </c>
      <c r="S17" t="s">
        <v>38</v>
      </c>
      <c r="T17">
        <v>7.2182399999999998</v>
      </c>
      <c r="U17">
        <v>1.8045599999999998E-2</v>
      </c>
      <c r="V17">
        <v>-7.2182399999999998</v>
      </c>
      <c r="W17">
        <v>1</v>
      </c>
      <c r="X17">
        <v>7.4999999999999997E-2</v>
      </c>
      <c r="Y17">
        <v>7.4999999999999997E-2</v>
      </c>
      <c r="Z17">
        <v>5</v>
      </c>
      <c r="AA17">
        <v>1.4999999999999999E-2</v>
      </c>
      <c r="AB17">
        <v>3626</v>
      </c>
      <c r="AC17">
        <v>14500</v>
      </c>
      <c r="AD17">
        <v>0.04</v>
      </c>
      <c r="AE17">
        <v>0.05</v>
      </c>
      <c r="AF17">
        <f t="shared" si="0"/>
        <v>0</v>
      </c>
      <c r="AG17">
        <v>0.05</v>
      </c>
      <c r="AH17">
        <f t="shared" si="1"/>
        <v>0</v>
      </c>
      <c r="AI17">
        <v>0</v>
      </c>
      <c r="AJ17">
        <f t="shared" si="2"/>
        <v>0</v>
      </c>
      <c r="AK17">
        <f t="shared" si="3"/>
        <v>0</v>
      </c>
      <c r="AL17">
        <f t="shared" si="4"/>
        <v>0</v>
      </c>
      <c r="AM17">
        <v>5.0000000000000001E-3</v>
      </c>
      <c r="AN17">
        <f t="shared" si="5"/>
        <v>0</v>
      </c>
      <c r="AO17">
        <v>0.1</v>
      </c>
      <c r="AP17">
        <f t="shared" si="6"/>
        <v>0</v>
      </c>
      <c r="AQ17">
        <v>0.1</v>
      </c>
      <c r="AR17">
        <f t="shared" si="7"/>
        <v>0</v>
      </c>
      <c r="AS17">
        <v>1</v>
      </c>
      <c r="AT17">
        <f t="shared" si="8"/>
        <v>0</v>
      </c>
      <c r="AU17">
        <v>0.01</v>
      </c>
      <c r="AV17">
        <f t="shared" si="9"/>
        <v>0.02</v>
      </c>
      <c r="AW17" s="37">
        <f>'S-Series Performance Report'!$C$36*0.01*'B1'!$F$12*'B1'!$F$5*$C$27</f>
        <v>0</v>
      </c>
      <c r="AX17">
        <f>'S-Series Performance Report'!$C$37*0.01*'B1'!$F$12*'B1'!$F$5*$C$27</f>
        <v>0</v>
      </c>
    </row>
    <row r="18" spans="2:50" x14ac:dyDescent="0.35">
      <c r="B18" t="s">
        <v>50</v>
      </c>
      <c r="C18">
        <f>IF('S-Series Performance Report'!$C$20="C",1,0)</f>
        <v>0</v>
      </c>
      <c r="E18" t="s">
        <v>87</v>
      </c>
      <c r="F18">
        <f>IF(F9&gt;INDEX(AB5:AB61,F14),1,0)</f>
        <v>0</v>
      </c>
      <c r="H18">
        <f>IF(AND(C5=1,C12=1,C15=1)=TRUE,1,0)</f>
        <v>0</v>
      </c>
      <c r="I18" s="1" t="s">
        <v>29</v>
      </c>
      <c r="J18" t="s">
        <v>42</v>
      </c>
      <c r="K18" t="s">
        <v>50</v>
      </c>
      <c r="L18" t="s">
        <v>41</v>
      </c>
      <c r="M18" t="s">
        <v>49</v>
      </c>
      <c r="Q18">
        <f>IF(AND($C$6=1,$C$15=1,$C$11=1,$C$18=1),1,0)</f>
        <v>0</v>
      </c>
      <c r="R18" t="s">
        <v>102</v>
      </c>
      <c r="S18" t="s">
        <v>38</v>
      </c>
      <c r="T18">
        <v>36.091200000000001</v>
      </c>
      <c r="U18">
        <v>8.9867059999999999E-2</v>
      </c>
      <c r="V18">
        <v>-14.7</v>
      </c>
      <c r="W18">
        <v>1</v>
      </c>
      <c r="X18">
        <v>7.4999999999999997E-2</v>
      </c>
      <c r="Y18">
        <v>7.4999999999999997E-2</v>
      </c>
      <c r="Z18">
        <v>5</v>
      </c>
      <c r="AA18">
        <v>1.4999999999999999E-2</v>
      </c>
      <c r="AB18">
        <v>3626</v>
      </c>
      <c r="AC18">
        <v>14500</v>
      </c>
      <c r="AD18">
        <v>0.04</v>
      </c>
      <c r="AE18">
        <v>0.05</v>
      </c>
      <c r="AF18">
        <f t="shared" si="0"/>
        <v>0</v>
      </c>
      <c r="AG18">
        <v>0.05</v>
      </c>
      <c r="AH18">
        <f t="shared" si="1"/>
        <v>0</v>
      </c>
      <c r="AI18">
        <v>0</v>
      </c>
      <c r="AJ18">
        <f t="shared" si="2"/>
        <v>0</v>
      </c>
      <c r="AK18">
        <f t="shared" si="3"/>
        <v>0</v>
      </c>
      <c r="AL18">
        <f t="shared" si="4"/>
        <v>0</v>
      </c>
      <c r="AM18">
        <v>5.0000000000000001E-3</v>
      </c>
      <c r="AN18">
        <f t="shared" si="5"/>
        <v>0</v>
      </c>
      <c r="AO18">
        <v>0.1</v>
      </c>
      <c r="AP18">
        <f t="shared" si="6"/>
        <v>0</v>
      </c>
      <c r="AQ18">
        <v>0.1</v>
      </c>
      <c r="AR18">
        <f t="shared" si="7"/>
        <v>0</v>
      </c>
      <c r="AS18">
        <v>1</v>
      </c>
      <c r="AT18">
        <f t="shared" si="8"/>
        <v>0</v>
      </c>
      <c r="AU18">
        <v>0.01</v>
      </c>
      <c r="AV18">
        <f t="shared" si="9"/>
        <v>0.02</v>
      </c>
      <c r="AW18" s="37">
        <f>'S-Series Performance Report'!$C$36*0.01*'B1'!$F$12*'B1'!$F$5*$C$27</f>
        <v>0</v>
      </c>
      <c r="AX18">
        <f>'S-Series Performance Report'!$C$37*0.01*'B1'!$F$12*'B1'!$F$5*$C$27</f>
        <v>0</v>
      </c>
    </row>
    <row r="19" spans="2:50" x14ac:dyDescent="0.35">
      <c r="B19" t="s">
        <v>41</v>
      </c>
      <c r="C19">
        <f>IF('S-Series Performance Report'!$C$20="D",1,0)</f>
        <v>0</v>
      </c>
      <c r="E19" t="s">
        <v>163</v>
      </c>
      <c r="F19">
        <f>IF(F11&lt;INDEX(V5:V61,F14)=TRUE,1,0)</f>
        <v>0</v>
      </c>
      <c r="H19">
        <f>IF(AND(C6=1,C12=1,C14=1)=TRUE,1,0)</f>
        <v>0</v>
      </c>
      <c r="I19" s="1" t="s">
        <v>30</v>
      </c>
      <c r="J19" t="s">
        <v>41</v>
      </c>
      <c r="K19" t="s">
        <v>49</v>
      </c>
      <c r="L19" t="s">
        <v>56</v>
      </c>
      <c r="Q19">
        <f>IF(AND($C$6=1,$C$15=1,$C$11=1,$C$19=1),1,0)</f>
        <v>0</v>
      </c>
      <c r="R19" t="s">
        <v>103</v>
      </c>
      <c r="S19" t="s">
        <v>38</v>
      </c>
      <c r="T19">
        <v>300</v>
      </c>
      <c r="U19">
        <v>3.75</v>
      </c>
      <c r="V19">
        <v>-14.7</v>
      </c>
      <c r="W19">
        <v>1</v>
      </c>
      <c r="X19">
        <v>7.4999999999999997E-2</v>
      </c>
      <c r="Y19">
        <v>7.4999999999999997E-2</v>
      </c>
      <c r="Z19">
        <v>10</v>
      </c>
      <c r="AA19">
        <v>7.4999999999999997E-3</v>
      </c>
      <c r="AB19">
        <v>3626</v>
      </c>
      <c r="AC19">
        <v>14500</v>
      </c>
      <c r="AD19">
        <v>0.04</v>
      </c>
      <c r="AE19">
        <v>0.05</v>
      </c>
      <c r="AF19">
        <f t="shared" si="0"/>
        <v>0</v>
      </c>
      <c r="AG19">
        <v>0.05</v>
      </c>
      <c r="AH19">
        <f t="shared" si="1"/>
        <v>0</v>
      </c>
      <c r="AI19">
        <v>0</v>
      </c>
      <c r="AJ19">
        <f t="shared" si="2"/>
        <v>0</v>
      </c>
      <c r="AK19">
        <f t="shared" si="3"/>
        <v>0</v>
      </c>
      <c r="AL19">
        <f t="shared" si="4"/>
        <v>0</v>
      </c>
      <c r="AM19">
        <v>5.0000000000000001E-3</v>
      </c>
      <c r="AN19">
        <f t="shared" si="5"/>
        <v>0</v>
      </c>
      <c r="AO19">
        <v>0.1</v>
      </c>
      <c r="AP19">
        <f t="shared" si="6"/>
        <v>0</v>
      </c>
      <c r="AQ19">
        <v>0.1</v>
      </c>
      <c r="AR19">
        <f t="shared" si="7"/>
        <v>0</v>
      </c>
      <c r="AS19">
        <v>1</v>
      </c>
      <c r="AT19">
        <f t="shared" si="8"/>
        <v>0</v>
      </c>
      <c r="AU19">
        <v>0.01</v>
      </c>
      <c r="AV19">
        <f t="shared" si="9"/>
        <v>0.02</v>
      </c>
      <c r="AW19" s="37">
        <f>'S-Series Performance Report'!$C$36*0.01*'B1'!$F$12*'B1'!$F$5*$C$27</f>
        <v>0</v>
      </c>
      <c r="AX19">
        <f>'S-Series Performance Report'!$C$37*0.01*'B1'!$F$12*'B1'!$F$5*$C$27</f>
        <v>0</v>
      </c>
    </row>
    <row r="20" spans="2:50" x14ac:dyDescent="0.35">
      <c r="B20" t="s">
        <v>49</v>
      </c>
      <c r="C20">
        <f>IF('S-Series Performance Report'!$C$20="E",1,0)</f>
        <v>0</v>
      </c>
      <c r="E20" t="s">
        <v>164</v>
      </c>
      <c r="F20">
        <f>IF(F12&lt;INDEX(U5:U61,F14),1,0)</f>
        <v>0</v>
      </c>
      <c r="H20">
        <f>IF(AND(C6=1,C12=1,C15=1)=TRUE,1,0)</f>
        <v>0</v>
      </c>
      <c r="I20" s="1" t="s">
        <v>31</v>
      </c>
      <c r="J20" t="s">
        <v>42</v>
      </c>
      <c r="K20" t="s">
        <v>50</v>
      </c>
      <c r="L20" t="s">
        <v>41</v>
      </c>
      <c r="M20" t="s">
        <v>49</v>
      </c>
      <c r="N20" t="s">
        <v>56</v>
      </c>
      <c r="Q20">
        <f>IF(AND($C$6=1,$C$15=1,$C$11=1,$C$20=1),1,0)</f>
        <v>0</v>
      </c>
      <c r="R20" t="s">
        <v>104</v>
      </c>
      <c r="S20" t="s">
        <v>38</v>
      </c>
      <c r="T20">
        <v>3000</v>
      </c>
      <c r="U20">
        <v>37.5</v>
      </c>
      <c r="V20">
        <v>-14.7</v>
      </c>
      <c r="W20">
        <v>1</v>
      </c>
      <c r="X20">
        <v>7.4999999999999997E-2</v>
      </c>
      <c r="Y20">
        <v>7.4999999999999997E-2</v>
      </c>
      <c r="Z20">
        <v>5</v>
      </c>
      <c r="AA20">
        <v>1.4999999999999999E-2</v>
      </c>
      <c r="AB20">
        <v>3626</v>
      </c>
      <c r="AC20">
        <v>14500</v>
      </c>
      <c r="AD20">
        <v>0.08</v>
      </c>
      <c r="AE20">
        <v>0.25</v>
      </c>
      <c r="AF20">
        <f t="shared" si="0"/>
        <v>0</v>
      </c>
      <c r="AG20">
        <v>0.05</v>
      </c>
      <c r="AH20">
        <f t="shared" si="1"/>
        <v>0</v>
      </c>
      <c r="AI20">
        <v>0</v>
      </c>
      <c r="AJ20">
        <f t="shared" si="2"/>
        <v>0</v>
      </c>
      <c r="AK20">
        <f t="shared" si="3"/>
        <v>0</v>
      </c>
      <c r="AL20">
        <f t="shared" si="4"/>
        <v>0</v>
      </c>
      <c r="AM20">
        <v>5.0000000000000001E-3</v>
      </c>
      <c r="AN20">
        <f t="shared" si="5"/>
        <v>0</v>
      </c>
      <c r="AO20">
        <v>0.1</v>
      </c>
      <c r="AP20">
        <f t="shared" si="6"/>
        <v>0</v>
      </c>
      <c r="AQ20">
        <v>0.1</v>
      </c>
      <c r="AR20">
        <f t="shared" si="7"/>
        <v>0</v>
      </c>
      <c r="AS20">
        <v>1</v>
      </c>
      <c r="AT20">
        <f t="shared" si="8"/>
        <v>0</v>
      </c>
      <c r="AU20">
        <v>0.01</v>
      </c>
      <c r="AV20">
        <f t="shared" si="9"/>
        <v>0.02</v>
      </c>
      <c r="AW20" s="37">
        <f>'S-Series Performance Report'!$C$36*0.01*'B1'!$F$12*'B1'!$F$5*$C$27</f>
        <v>0</v>
      </c>
      <c r="AX20">
        <f>'S-Series Performance Report'!$C$37*0.01*'B1'!$F$12*'B1'!$F$5*$C$27</f>
        <v>0</v>
      </c>
    </row>
    <row r="21" spans="2:50" x14ac:dyDescent="0.35">
      <c r="B21" t="s">
        <v>56</v>
      </c>
      <c r="C21">
        <f>IF('S-Series Performance Report'!$C$20="F",1,0)</f>
        <v>0</v>
      </c>
      <c r="E21" t="s">
        <v>265</v>
      </c>
      <c r="F21">
        <f>IF(F12&gt;INDEX(T5:T61,F14),1,0)</f>
        <v>0</v>
      </c>
      <c r="H21">
        <f>IF(AND(C12=1,C7=1)=TRUE,1,0)</f>
        <v>1</v>
      </c>
      <c r="I21" s="1" t="s">
        <v>32</v>
      </c>
      <c r="J21" t="s">
        <v>42</v>
      </c>
      <c r="K21" t="s">
        <v>50</v>
      </c>
      <c r="L21" t="s">
        <v>41</v>
      </c>
      <c r="M21" t="s">
        <v>49</v>
      </c>
      <c r="Q21">
        <f>IF(AND($C$6=1,$C$15=1,$C$11=1,$C$21=1),1,0)</f>
        <v>0</v>
      </c>
      <c r="R21" t="s">
        <v>105</v>
      </c>
      <c r="S21" t="s">
        <v>38</v>
      </c>
      <c r="T21">
        <v>5000</v>
      </c>
      <c r="U21">
        <v>165</v>
      </c>
      <c r="V21">
        <v>-14.7</v>
      </c>
      <c r="W21">
        <v>1</v>
      </c>
      <c r="X21">
        <v>7.4999999999999997E-2</v>
      </c>
      <c r="Y21">
        <v>7.4999999999999997E-2</v>
      </c>
      <c r="Z21">
        <v>5</v>
      </c>
      <c r="AA21">
        <v>1.4999999999999999E-2</v>
      </c>
      <c r="AB21">
        <v>5800</v>
      </c>
      <c r="AC21">
        <v>14500</v>
      </c>
      <c r="AD21">
        <v>0.08</v>
      </c>
      <c r="AE21">
        <v>0.25</v>
      </c>
      <c r="AF21">
        <f t="shared" si="0"/>
        <v>0</v>
      </c>
      <c r="AG21">
        <v>0.05</v>
      </c>
      <c r="AH21">
        <f t="shared" si="1"/>
        <v>0</v>
      </c>
      <c r="AI21">
        <v>0</v>
      </c>
      <c r="AJ21">
        <f t="shared" si="2"/>
        <v>0</v>
      </c>
      <c r="AK21">
        <f t="shared" si="3"/>
        <v>0</v>
      </c>
      <c r="AL21">
        <f t="shared" si="4"/>
        <v>0</v>
      </c>
      <c r="AM21">
        <v>5.0000000000000001E-3</v>
      </c>
      <c r="AN21">
        <f t="shared" si="5"/>
        <v>0</v>
      </c>
      <c r="AO21">
        <v>0.1</v>
      </c>
      <c r="AP21">
        <f t="shared" si="6"/>
        <v>0</v>
      </c>
      <c r="AQ21">
        <v>0.1</v>
      </c>
      <c r="AR21">
        <f t="shared" si="7"/>
        <v>0</v>
      </c>
      <c r="AS21">
        <v>1</v>
      </c>
      <c r="AT21">
        <f t="shared" si="8"/>
        <v>0</v>
      </c>
      <c r="AU21">
        <v>0.01</v>
      </c>
      <c r="AV21">
        <f t="shared" si="9"/>
        <v>0.02</v>
      </c>
      <c r="AW21" s="37">
        <f>'S-Series Performance Report'!$C$36*0.01*'B1'!$F$12*'B1'!$F$5*$C$27</f>
        <v>0</v>
      </c>
      <c r="AX21">
        <f>'S-Series Performance Report'!$C$37*0.01*'B1'!$F$12*'B1'!$F$5*$C$27</f>
        <v>0</v>
      </c>
    </row>
    <row r="22" spans="2:50" x14ac:dyDescent="0.35">
      <c r="B22" t="s">
        <v>58</v>
      </c>
      <c r="C22">
        <f>IF('S-Series Performance Report'!$C$20="G",1,0)</f>
        <v>0</v>
      </c>
      <c r="E22" t="s">
        <v>172</v>
      </c>
      <c r="F22">
        <f>IF(F6&gt;INDEX(T5:T61,F14)/INDEX(W5:W61,F14),1,0)</f>
        <v>1</v>
      </c>
      <c r="H22">
        <f>IF(AND(C5=1,C13=1,C14=1)=TRUE,1,0)</f>
        <v>0</v>
      </c>
      <c r="I22" s="1" t="s">
        <v>80</v>
      </c>
      <c r="J22" t="s">
        <v>41</v>
      </c>
      <c r="K22" t="s">
        <v>49</v>
      </c>
      <c r="Q22">
        <f>IF(AND($C$7=1,$C$15=1,$C$11=1,$C$17=1),1,0)</f>
        <v>0</v>
      </c>
      <c r="R22" t="s">
        <v>106</v>
      </c>
      <c r="S22" t="s">
        <v>39</v>
      </c>
      <c r="T22">
        <v>7.2182399999999998</v>
      </c>
      <c r="U22">
        <v>1.8045599999999998E-2</v>
      </c>
      <c r="V22">
        <f>-T22</f>
        <v>-7.2182399999999998</v>
      </c>
      <c r="W22">
        <v>1</v>
      </c>
      <c r="X22">
        <v>7.4999999999999997E-2</v>
      </c>
      <c r="Y22">
        <v>7.4999999999999997E-2</v>
      </c>
      <c r="Z22">
        <v>5</v>
      </c>
      <c r="AA22">
        <v>1.4999999999999999E-2</v>
      </c>
      <c r="AB22">
        <v>3626</v>
      </c>
      <c r="AC22">
        <v>14500</v>
      </c>
      <c r="AD22">
        <v>0.04</v>
      </c>
      <c r="AE22">
        <v>0.05</v>
      </c>
      <c r="AF22">
        <f t="shared" si="0"/>
        <v>0</v>
      </c>
      <c r="AG22">
        <v>0.05</v>
      </c>
      <c r="AH22">
        <f t="shared" si="1"/>
        <v>0</v>
      </c>
      <c r="AI22">
        <v>0.15</v>
      </c>
      <c r="AJ22">
        <f t="shared" si="2"/>
        <v>0</v>
      </c>
      <c r="AK22">
        <f t="shared" si="3"/>
        <v>0</v>
      </c>
      <c r="AL22">
        <f t="shared" si="4"/>
        <v>0</v>
      </c>
      <c r="AM22">
        <v>5.0000000000000001E-3</v>
      </c>
      <c r="AN22">
        <f t="shared" si="5"/>
        <v>0</v>
      </c>
      <c r="AO22">
        <v>0.1</v>
      </c>
      <c r="AP22">
        <f t="shared" si="6"/>
        <v>0</v>
      </c>
      <c r="AQ22">
        <v>0.1</v>
      </c>
      <c r="AR22">
        <f t="shared" si="7"/>
        <v>0</v>
      </c>
      <c r="AS22">
        <v>1</v>
      </c>
      <c r="AT22">
        <f t="shared" si="8"/>
        <v>0</v>
      </c>
      <c r="AU22">
        <v>0.01</v>
      </c>
      <c r="AV22">
        <f t="shared" si="9"/>
        <v>0.02</v>
      </c>
      <c r="AW22" s="37">
        <f>'S-Series Performance Report'!$C$36*0.01*'B1'!$F$12*'B1'!$F$5*$C$27</f>
        <v>0</v>
      </c>
      <c r="AX22">
        <f>'S-Series Performance Report'!$C$37*0.01*'B1'!$F$12*'B1'!$F$5*$C$27</f>
        <v>0</v>
      </c>
    </row>
    <row r="23" spans="2:50" x14ac:dyDescent="0.35">
      <c r="B23" t="s">
        <v>59</v>
      </c>
      <c r="C23">
        <f>IF('S-Series Performance Report'!$C$20="H",1,0)</f>
        <v>0</v>
      </c>
      <c r="E23" t="s">
        <v>173</v>
      </c>
      <c r="F23">
        <f>IF(F7&gt;INDEX(T5:T61,F14)/INDEX(W5:W61,F14),1,0)</f>
        <v>0</v>
      </c>
      <c r="H23">
        <f>IF(AND(C5=1,C13=1,C15=1)=TRUE,1,0)</f>
        <v>0</v>
      </c>
      <c r="I23" s="1" t="s">
        <v>81</v>
      </c>
      <c r="J23" t="s">
        <v>42</v>
      </c>
      <c r="K23" t="s">
        <v>50</v>
      </c>
      <c r="L23" t="s">
        <v>41</v>
      </c>
      <c r="M23" t="s">
        <v>49</v>
      </c>
      <c r="Q23">
        <f>IF(AND($C$7=1,$C$15=1,$C$11=1,$C$18=1),1,0)</f>
        <v>0</v>
      </c>
      <c r="R23" t="s">
        <v>107</v>
      </c>
      <c r="S23" t="s">
        <v>39</v>
      </c>
      <c r="T23">
        <v>36.091200000000001</v>
      </c>
      <c r="U23">
        <v>8.9867059999999999E-2</v>
      </c>
      <c r="V23">
        <f>-T23</f>
        <v>-36.091200000000001</v>
      </c>
      <c r="W23">
        <v>1</v>
      </c>
      <c r="X23">
        <v>7.4999999999999997E-2</v>
      </c>
      <c r="Y23">
        <v>7.4999999999999997E-2</v>
      </c>
      <c r="Z23">
        <v>5</v>
      </c>
      <c r="AA23">
        <v>1.4999999999999999E-2</v>
      </c>
      <c r="AB23">
        <v>3626</v>
      </c>
      <c r="AC23">
        <v>14500</v>
      </c>
      <c r="AD23">
        <v>0.04</v>
      </c>
      <c r="AE23">
        <v>0.05</v>
      </c>
      <c r="AF23">
        <f t="shared" si="0"/>
        <v>0</v>
      </c>
      <c r="AG23">
        <v>0.05</v>
      </c>
      <c r="AH23">
        <f t="shared" si="1"/>
        <v>0</v>
      </c>
      <c r="AI23">
        <v>0.15</v>
      </c>
      <c r="AJ23">
        <f t="shared" si="2"/>
        <v>0</v>
      </c>
      <c r="AK23">
        <f t="shared" si="3"/>
        <v>0</v>
      </c>
      <c r="AL23">
        <f t="shared" si="4"/>
        <v>0</v>
      </c>
      <c r="AM23">
        <v>5.0000000000000001E-3</v>
      </c>
      <c r="AN23">
        <f t="shared" si="5"/>
        <v>0</v>
      </c>
      <c r="AO23">
        <v>0.1</v>
      </c>
      <c r="AP23">
        <f t="shared" si="6"/>
        <v>0</v>
      </c>
      <c r="AQ23">
        <v>0.1</v>
      </c>
      <c r="AR23">
        <f t="shared" si="7"/>
        <v>0</v>
      </c>
      <c r="AS23">
        <v>1</v>
      </c>
      <c r="AT23">
        <f t="shared" si="8"/>
        <v>0</v>
      </c>
      <c r="AU23">
        <v>0.01</v>
      </c>
      <c r="AV23">
        <f t="shared" si="9"/>
        <v>0.02</v>
      </c>
      <c r="AW23" s="37">
        <f>'S-Series Performance Report'!$C$36*0.01*'B1'!$F$12*'B1'!$F$5*$C$27</f>
        <v>0</v>
      </c>
      <c r="AX23">
        <f>'S-Series Performance Report'!$C$37*0.01*'B1'!$F$12*'B1'!$F$5*$C$27</f>
        <v>0</v>
      </c>
    </row>
    <row r="24" spans="2:50" x14ac:dyDescent="0.35">
      <c r="B24" t="s">
        <v>156</v>
      </c>
      <c r="C24">
        <f>IF('S-Series Performance Report'!$C$20="I",1,0)</f>
        <v>0</v>
      </c>
      <c r="E24" t="s">
        <v>174</v>
      </c>
      <c r="F24">
        <f>IF(F8&gt;INDEX(T5:T61,F14)/INDEX(W5:W61,F14),1,0)</f>
        <v>0</v>
      </c>
      <c r="H24">
        <f>IF(AND(C6=1,C13=1,C14=1)=TRUE,1,0)</f>
        <v>0</v>
      </c>
      <c r="I24" s="1" t="s">
        <v>82</v>
      </c>
      <c r="J24" t="s">
        <v>41</v>
      </c>
      <c r="K24" t="s">
        <v>49</v>
      </c>
      <c r="L24" t="s">
        <v>56</v>
      </c>
      <c r="Q24">
        <f>IF(AND($C$7=1,$C$15=1,$C$11=1,$C$19=1),1,0)</f>
        <v>0</v>
      </c>
      <c r="R24" t="s">
        <v>108</v>
      </c>
      <c r="S24" t="s">
        <v>39</v>
      </c>
      <c r="T24">
        <v>300</v>
      </c>
      <c r="U24">
        <v>3.75</v>
      </c>
      <c r="V24">
        <f>-14.7</f>
        <v>-14.7</v>
      </c>
      <c r="W24">
        <v>1</v>
      </c>
      <c r="X24">
        <v>7.4999999999999997E-2</v>
      </c>
      <c r="Y24">
        <v>7.4999999999999997E-2</v>
      </c>
      <c r="Z24">
        <v>10</v>
      </c>
      <c r="AA24">
        <v>7.4999999999999997E-3</v>
      </c>
      <c r="AB24">
        <v>3626</v>
      </c>
      <c r="AC24">
        <v>14500</v>
      </c>
      <c r="AD24">
        <v>0.04</v>
      </c>
      <c r="AE24">
        <v>0.05</v>
      </c>
      <c r="AF24">
        <f t="shared" si="0"/>
        <v>0</v>
      </c>
      <c r="AG24">
        <v>0.05</v>
      </c>
      <c r="AH24">
        <f t="shared" si="1"/>
        <v>0</v>
      </c>
      <c r="AI24">
        <v>0.15</v>
      </c>
      <c r="AJ24">
        <f t="shared" si="2"/>
        <v>0</v>
      </c>
      <c r="AK24">
        <f t="shared" si="3"/>
        <v>0</v>
      </c>
      <c r="AL24">
        <f t="shared" si="4"/>
        <v>0</v>
      </c>
      <c r="AM24">
        <v>5.0000000000000001E-3</v>
      </c>
      <c r="AN24">
        <f t="shared" si="5"/>
        <v>0</v>
      </c>
      <c r="AO24">
        <v>0.1</v>
      </c>
      <c r="AP24">
        <f t="shared" si="6"/>
        <v>0</v>
      </c>
      <c r="AQ24">
        <v>0.1</v>
      </c>
      <c r="AR24">
        <f t="shared" si="7"/>
        <v>0</v>
      </c>
      <c r="AS24">
        <v>1</v>
      </c>
      <c r="AT24">
        <f t="shared" si="8"/>
        <v>0</v>
      </c>
      <c r="AU24">
        <v>0.01</v>
      </c>
      <c r="AV24">
        <f t="shared" si="9"/>
        <v>0.02</v>
      </c>
      <c r="AW24" s="37">
        <f>'S-Series Performance Report'!$C$36*0.01*'B1'!$F$12*'B1'!$F$5*$C$27</f>
        <v>0</v>
      </c>
      <c r="AX24">
        <f>'S-Series Performance Report'!$C$37*0.01*'B1'!$F$12*'B1'!$F$5*$C$27</f>
        <v>0</v>
      </c>
    </row>
    <row r="25" spans="2:50" x14ac:dyDescent="0.35">
      <c r="B25" t="s">
        <v>57</v>
      </c>
      <c r="C25">
        <f>IF('S-Series Performance Report'!$C$20="J",1,0)</f>
        <v>0</v>
      </c>
      <c r="E25" t="s">
        <v>175</v>
      </c>
      <c r="F25">
        <f>IF(F6&gt;INDEX(T5:T61,F14)/INDEX(Z5:Z61,F14),1,0)</f>
        <v>1</v>
      </c>
      <c r="H25">
        <f>IF(AND(C6=1,C13=1,C15=1)=TRUE,1,0)</f>
        <v>0</v>
      </c>
      <c r="I25" s="1" t="s">
        <v>83</v>
      </c>
      <c r="J25" t="s">
        <v>42</v>
      </c>
      <c r="K25" t="s">
        <v>50</v>
      </c>
      <c r="L25" t="s">
        <v>41</v>
      </c>
      <c r="M25" t="s">
        <v>49</v>
      </c>
      <c r="N25" t="s">
        <v>56</v>
      </c>
      <c r="Q25">
        <f>IF(AND($C$7=1,$C$15=1,$C$11=1,$C$20=1),1,0)</f>
        <v>0</v>
      </c>
      <c r="R25" t="s">
        <v>109</v>
      </c>
      <c r="S25" t="s">
        <v>39</v>
      </c>
      <c r="T25">
        <v>3000</v>
      </c>
      <c r="U25">
        <v>37.5</v>
      </c>
      <c r="V25">
        <v>0</v>
      </c>
      <c r="W25">
        <v>1</v>
      </c>
      <c r="X25">
        <v>7.4999999999999997E-2</v>
      </c>
      <c r="Y25">
        <v>7.4999999999999997E-2</v>
      </c>
      <c r="Z25">
        <v>10</v>
      </c>
      <c r="AA25">
        <v>7.4999999999999997E-3</v>
      </c>
      <c r="AB25">
        <v>3626</v>
      </c>
      <c r="AC25">
        <v>14500</v>
      </c>
      <c r="AD25">
        <v>0.04</v>
      </c>
      <c r="AE25">
        <v>0.05</v>
      </c>
      <c r="AF25">
        <f t="shared" si="0"/>
        <v>0</v>
      </c>
      <c r="AG25">
        <v>0.05</v>
      </c>
      <c r="AH25">
        <f t="shared" si="1"/>
        <v>0</v>
      </c>
      <c r="AI25">
        <v>0.15</v>
      </c>
      <c r="AJ25">
        <f t="shared" si="2"/>
        <v>0</v>
      </c>
      <c r="AK25">
        <f t="shared" si="3"/>
        <v>0</v>
      </c>
      <c r="AL25">
        <f t="shared" si="4"/>
        <v>0</v>
      </c>
      <c r="AM25">
        <v>5.0000000000000001E-3</v>
      </c>
      <c r="AN25">
        <f t="shared" si="5"/>
        <v>0</v>
      </c>
      <c r="AO25">
        <v>0.1</v>
      </c>
      <c r="AP25">
        <f t="shared" si="6"/>
        <v>0</v>
      </c>
      <c r="AQ25">
        <v>0.1</v>
      </c>
      <c r="AR25">
        <f t="shared" si="7"/>
        <v>0</v>
      </c>
      <c r="AS25">
        <v>1</v>
      </c>
      <c r="AT25">
        <f t="shared" si="8"/>
        <v>0</v>
      </c>
      <c r="AU25">
        <v>0.01</v>
      </c>
      <c r="AV25">
        <f t="shared" si="9"/>
        <v>0.02</v>
      </c>
      <c r="AW25" s="37">
        <f>'S-Series Performance Report'!$C$36*0.01*'B1'!$F$12*'B1'!$F$5*$C$27</f>
        <v>0</v>
      </c>
      <c r="AX25">
        <f>'S-Series Performance Report'!$C$37*0.01*'B1'!$F$12*'B1'!$F$5*$C$27</f>
        <v>0</v>
      </c>
    </row>
    <row r="26" spans="2:50" x14ac:dyDescent="0.35">
      <c r="B26" t="s">
        <v>158</v>
      </c>
      <c r="C26" t="str">
        <f>'S-Series Performance Report'!C18</f>
        <v>IDP10S</v>
      </c>
      <c r="E26" t="s">
        <v>176</v>
      </c>
      <c r="F26">
        <f>IF(F7&gt;INDEX(T5:T61,F14)/INDEX(Z5:Z61,F14),1,0)</f>
        <v>0</v>
      </c>
      <c r="H26">
        <f>IF(AND(C13=1,C7=1)=TRUE,1,0)</f>
        <v>0</v>
      </c>
      <c r="I26" s="1" t="s">
        <v>84</v>
      </c>
      <c r="J26" t="s">
        <v>42</v>
      </c>
      <c r="K26" t="s">
        <v>50</v>
      </c>
      <c r="L26" t="s">
        <v>41</v>
      </c>
      <c r="M26" t="s">
        <v>49</v>
      </c>
      <c r="Q26">
        <f>IF(AND($C$5=1,$C$14=1,$C$12=1,$C$19=1),1,0)</f>
        <v>0</v>
      </c>
      <c r="R26" t="s">
        <v>110</v>
      </c>
      <c r="S26" t="s">
        <v>46</v>
      </c>
      <c r="T26">
        <v>200</v>
      </c>
      <c r="U26">
        <v>0.5</v>
      </c>
      <c r="V26">
        <v>0</v>
      </c>
      <c r="W26">
        <f>1/0.04</f>
        <v>25</v>
      </c>
      <c r="X26">
        <v>0.05</v>
      </c>
      <c r="Y26">
        <v>0.05</v>
      </c>
      <c r="Z26">
        <v>30</v>
      </c>
      <c r="AA26">
        <v>1.6670000000000001E-3</v>
      </c>
      <c r="AB26">
        <v>300</v>
      </c>
      <c r="AC26">
        <v>800</v>
      </c>
      <c r="AD26">
        <v>0.03</v>
      </c>
      <c r="AE26">
        <v>0.06</v>
      </c>
      <c r="AF26">
        <f t="shared" si="0"/>
        <v>0</v>
      </c>
      <c r="AG26">
        <v>0.03</v>
      </c>
      <c r="AH26">
        <f t="shared" si="1"/>
        <v>0</v>
      </c>
      <c r="AI26">
        <v>0</v>
      </c>
      <c r="AJ26">
        <f t="shared" si="2"/>
        <v>0</v>
      </c>
      <c r="AK26">
        <f t="shared" si="3"/>
        <v>0</v>
      </c>
      <c r="AL26">
        <f t="shared" si="4"/>
        <v>0</v>
      </c>
      <c r="AM26">
        <v>5.0000000000000001E-3</v>
      </c>
      <c r="AN26">
        <f t="shared" si="5"/>
        <v>0</v>
      </c>
      <c r="AO26">
        <v>0.1</v>
      </c>
      <c r="AP26">
        <f t="shared" si="6"/>
        <v>0</v>
      </c>
      <c r="AQ26">
        <v>0.1</v>
      </c>
      <c r="AR26">
        <f t="shared" si="7"/>
        <v>0</v>
      </c>
      <c r="AS26">
        <v>1</v>
      </c>
      <c r="AT26">
        <f t="shared" si="8"/>
        <v>0</v>
      </c>
      <c r="AU26">
        <v>0.01</v>
      </c>
      <c r="AV26">
        <f t="shared" si="9"/>
        <v>0.02</v>
      </c>
      <c r="AW26" s="37">
        <f>'S-Series Performance Report'!$C$36*0.01*'B1'!$F$12*'B1'!$F$5*$C$27</f>
        <v>0</v>
      </c>
      <c r="AX26">
        <f>'S-Series Performance Report'!$C$37*0.01*'B1'!$F$12*'B1'!$F$5*$C$27</f>
        <v>0</v>
      </c>
    </row>
    <row r="27" spans="2:50" x14ac:dyDescent="0.35">
      <c r="B27" t="s">
        <v>254</v>
      </c>
      <c r="C27">
        <f>IF('S-Series Performance Report'!C23="Analog (4-20mA)",1,0)</f>
        <v>1</v>
      </c>
      <c r="E27" t="s">
        <v>177</v>
      </c>
      <c r="F27">
        <f>IF(F8&gt;INDEX(T5:T61,F14)/INDEX(Z5:Z61,F14),1,0)</f>
        <v>0</v>
      </c>
      <c r="I27" s="1" t="s">
        <v>33</v>
      </c>
      <c r="J27" s="3" t="s">
        <v>43</v>
      </c>
      <c r="K27" t="s">
        <v>51</v>
      </c>
      <c r="Q27">
        <f>IF(AND($C$5=1,$C$14=1,$C$12=1,$C$20=1),1,0)</f>
        <v>0</v>
      </c>
      <c r="R27" t="s">
        <v>111</v>
      </c>
      <c r="S27" t="s">
        <v>46</v>
      </c>
      <c r="T27">
        <v>2000</v>
      </c>
      <c r="U27">
        <v>5</v>
      </c>
      <c r="V27">
        <v>0</v>
      </c>
      <c r="W27">
        <f>1/0.04</f>
        <v>25</v>
      </c>
      <c r="X27">
        <v>0.05</v>
      </c>
      <c r="Y27">
        <v>0.05</v>
      </c>
      <c r="Z27">
        <v>80</v>
      </c>
      <c r="AA27">
        <v>6.2500000000000001E-4</v>
      </c>
      <c r="AB27">
        <v>3000</v>
      </c>
      <c r="AC27">
        <v>8000</v>
      </c>
      <c r="AD27">
        <v>0.03</v>
      </c>
      <c r="AE27">
        <v>0.06</v>
      </c>
      <c r="AF27">
        <f t="shared" si="0"/>
        <v>0</v>
      </c>
      <c r="AG27">
        <v>0.03</v>
      </c>
      <c r="AH27">
        <f t="shared" si="1"/>
        <v>0</v>
      </c>
      <c r="AI27">
        <v>0</v>
      </c>
      <c r="AJ27">
        <f t="shared" si="2"/>
        <v>0</v>
      </c>
      <c r="AK27">
        <f t="shared" si="3"/>
        <v>0</v>
      </c>
      <c r="AL27">
        <f t="shared" si="4"/>
        <v>0</v>
      </c>
      <c r="AM27">
        <v>5.0000000000000001E-3</v>
      </c>
      <c r="AN27">
        <f t="shared" si="5"/>
        <v>0</v>
      </c>
      <c r="AO27">
        <v>0.1</v>
      </c>
      <c r="AP27">
        <f t="shared" si="6"/>
        <v>0</v>
      </c>
      <c r="AQ27">
        <v>0.1</v>
      </c>
      <c r="AR27">
        <f t="shared" si="7"/>
        <v>0</v>
      </c>
      <c r="AS27">
        <v>1</v>
      </c>
      <c r="AT27">
        <f t="shared" si="8"/>
        <v>0</v>
      </c>
      <c r="AU27">
        <v>0.01</v>
      </c>
      <c r="AV27">
        <f t="shared" si="9"/>
        <v>0.02</v>
      </c>
      <c r="AW27" s="37">
        <f>'S-Series Performance Report'!$C$36*0.01*'B1'!$F$12*'B1'!$F$5*$C$27</f>
        <v>0</v>
      </c>
      <c r="AX27">
        <f>'S-Series Performance Report'!$C$37*0.01*'B1'!$F$12*'B1'!$F$5*$C$27</f>
        <v>0</v>
      </c>
    </row>
    <row r="28" spans="2:50" x14ac:dyDescent="0.35">
      <c r="E28" t="s">
        <v>209</v>
      </c>
      <c r="F28">
        <f>IF(INDEX(T5:T61,F14)/F12&gt;INDEX(W5:W61,F14),0,1)</f>
        <v>1</v>
      </c>
      <c r="I28" s="1" t="s">
        <v>34</v>
      </c>
      <c r="J28" s="3" t="s">
        <v>44</v>
      </c>
      <c r="K28" t="s">
        <v>52</v>
      </c>
      <c r="Q28">
        <f>IF(AND($C$5=1,$C$15=1,$C$12=1,$C$17=1),1,0)</f>
        <v>0</v>
      </c>
      <c r="R28" t="s">
        <v>112</v>
      </c>
      <c r="S28" t="s">
        <v>46</v>
      </c>
      <c r="T28">
        <v>7.2182399999999998</v>
      </c>
      <c r="U28">
        <v>1.8045599999999998E-2</v>
      </c>
      <c r="V28">
        <v>0.72182400000000002</v>
      </c>
      <c r="W28">
        <v>3</v>
      </c>
      <c r="X28">
        <v>0.05</v>
      </c>
      <c r="Y28">
        <v>0.05</v>
      </c>
      <c r="Z28">
        <v>8</v>
      </c>
      <c r="AA28">
        <v>6.2500000000000003E-3</v>
      </c>
      <c r="AB28">
        <v>3626</v>
      </c>
      <c r="AC28">
        <v>14500</v>
      </c>
      <c r="AD28">
        <v>0.04</v>
      </c>
      <c r="AE28">
        <v>0.05</v>
      </c>
      <c r="AF28">
        <f t="shared" si="0"/>
        <v>0</v>
      </c>
      <c r="AG28">
        <v>0.03</v>
      </c>
      <c r="AH28">
        <f t="shared" si="1"/>
        <v>0</v>
      </c>
      <c r="AI28">
        <v>0</v>
      </c>
      <c r="AJ28">
        <f t="shared" si="2"/>
        <v>0</v>
      </c>
      <c r="AK28">
        <f t="shared" si="3"/>
        <v>0</v>
      </c>
      <c r="AL28">
        <f t="shared" si="4"/>
        <v>0</v>
      </c>
      <c r="AM28">
        <v>5.0000000000000001E-3</v>
      </c>
      <c r="AN28">
        <f t="shared" si="5"/>
        <v>0</v>
      </c>
      <c r="AO28">
        <v>0.1</v>
      </c>
      <c r="AP28">
        <f t="shared" si="6"/>
        <v>0</v>
      </c>
      <c r="AQ28">
        <v>0.1</v>
      </c>
      <c r="AR28">
        <f t="shared" si="7"/>
        <v>0</v>
      </c>
      <c r="AS28">
        <v>1</v>
      </c>
      <c r="AT28">
        <f t="shared" si="8"/>
        <v>0</v>
      </c>
      <c r="AU28">
        <v>0.01</v>
      </c>
      <c r="AV28">
        <f t="shared" si="9"/>
        <v>0.02</v>
      </c>
      <c r="AW28" s="37">
        <f>'S-Series Performance Report'!$C$36*0.01*'B1'!$F$12*'B1'!$F$5*$C$27</f>
        <v>0</v>
      </c>
      <c r="AX28">
        <f>'S-Series Performance Report'!$C$37*0.01*'B1'!$F$12*'B1'!$F$5*$C$27</f>
        <v>0</v>
      </c>
    </row>
    <row r="29" spans="2:50" x14ac:dyDescent="0.35">
      <c r="E29" t="s">
        <v>210</v>
      </c>
      <c r="F29">
        <f>IF(INDEX(T5:T61,F14)/F12&gt;INDEX(Z5:Z61,F14),0,1)</f>
        <v>1</v>
      </c>
      <c r="I29" s="1" t="s">
        <v>36</v>
      </c>
      <c r="J29" t="s">
        <v>45</v>
      </c>
      <c r="K29" t="s">
        <v>52</v>
      </c>
      <c r="Q29">
        <f>IF(AND($C$5=1,$C$15=1,$C$12=1,$C$18=1),1,0)</f>
        <v>0</v>
      </c>
      <c r="R29" t="s">
        <v>113</v>
      </c>
      <c r="S29" t="s">
        <v>46</v>
      </c>
      <c r="T29">
        <v>36.091200000000001</v>
      </c>
      <c r="U29">
        <v>8.9867059999999999E-2</v>
      </c>
      <c r="V29">
        <v>0</v>
      </c>
      <c r="W29">
        <v>3</v>
      </c>
      <c r="X29">
        <v>0.05</v>
      </c>
      <c r="Y29">
        <v>0.05</v>
      </c>
      <c r="Z29">
        <v>20</v>
      </c>
      <c r="AA29">
        <v>2.5000000000000001E-3</v>
      </c>
      <c r="AB29">
        <v>3626</v>
      </c>
      <c r="AC29">
        <v>14500</v>
      </c>
      <c r="AD29">
        <v>0.04</v>
      </c>
      <c r="AE29">
        <v>0.05</v>
      </c>
      <c r="AF29">
        <f t="shared" si="0"/>
        <v>0</v>
      </c>
      <c r="AG29">
        <v>0.03</v>
      </c>
      <c r="AH29">
        <f t="shared" si="1"/>
        <v>0</v>
      </c>
      <c r="AI29">
        <v>0</v>
      </c>
      <c r="AJ29">
        <f t="shared" si="2"/>
        <v>0</v>
      </c>
      <c r="AK29">
        <f t="shared" si="3"/>
        <v>0</v>
      </c>
      <c r="AL29">
        <f t="shared" si="4"/>
        <v>0</v>
      </c>
      <c r="AM29">
        <v>5.0000000000000001E-3</v>
      </c>
      <c r="AN29">
        <f t="shared" si="5"/>
        <v>0</v>
      </c>
      <c r="AO29">
        <v>0.1</v>
      </c>
      <c r="AP29">
        <f t="shared" si="6"/>
        <v>0</v>
      </c>
      <c r="AQ29">
        <v>0.1</v>
      </c>
      <c r="AR29">
        <f t="shared" si="7"/>
        <v>0</v>
      </c>
      <c r="AS29">
        <v>1</v>
      </c>
      <c r="AT29">
        <f t="shared" si="8"/>
        <v>0</v>
      </c>
      <c r="AU29">
        <v>0.01</v>
      </c>
      <c r="AV29">
        <f t="shared" si="9"/>
        <v>0.02</v>
      </c>
      <c r="AW29" s="37">
        <f>'S-Series Performance Report'!$C$36*0.01*'B1'!$F$12*'B1'!$F$5*$C$27</f>
        <v>0</v>
      </c>
      <c r="AX29">
        <f>'S-Series Performance Report'!$C$37*0.01*'B1'!$F$12*'B1'!$F$5*$C$27</f>
        <v>0</v>
      </c>
    </row>
    <row r="30" spans="2:50" x14ac:dyDescent="0.35">
      <c r="E30" t="s">
        <v>188</v>
      </c>
      <c r="F30">
        <f>IF('S-Series Performance Report'!C29="No Change",0,1)</f>
        <v>0</v>
      </c>
      <c r="I30" s="1" t="s">
        <v>227</v>
      </c>
      <c r="J30" t="s">
        <v>228</v>
      </c>
      <c r="K30" t="s">
        <v>229</v>
      </c>
      <c r="L30" t="s">
        <v>230</v>
      </c>
      <c r="M30" t="s">
        <v>231</v>
      </c>
      <c r="N30" t="s">
        <v>232</v>
      </c>
      <c r="Q30">
        <f>IF(AND($C$5=1,$C$15=1,$C$12=1,$C$19=1),1,0)</f>
        <v>0</v>
      </c>
      <c r="R30" t="s">
        <v>114</v>
      </c>
      <c r="S30" t="s">
        <v>46</v>
      </c>
      <c r="T30">
        <v>300</v>
      </c>
      <c r="U30">
        <v>3.75</v>
      </c>
      <c r="V30">
        <v>0</v>
      </c>
      <c r="W30">
        <f>1/0.04</f>
        <v>25</v>
      </c>
      <c r="X30">
        <v>0.05</v>
      </c>
      <c r="Y30">
        <v>0.05</v>
      </c>
      <c r="Z30">
        <v>30</v>
      </c>
      <c r="AA30">
        <v>1.6670000000000001E-3</v>
      </c>
      <c r="AB30">
        <v>3626</v>
      </c>
      <c r="AC30">
        <v>14500</v>
      </c>
      <c r="AD30">
        <v>0.04</v>
      </c>
      <c r="AE30">
        <v>0.05</v>
      </c>
      <c r="AF30">
        <f t="shared" si="0"/>
        <v>0</v>
      </c>
      <c r="AG30">
        <v>0.03</v>
      </c>
      <c r="AH30">
        <f t="shared" si="1"/>
        <v>0</v>
      </c>
      <c r="AI30">
        <v>0</v>
      </c>
      <c r="AJ30">
        <f t="shared" si="2"/>
        <v>0</v>
      </c>
      <c r="AK30">
        <f t="shared" si="3"/>
        <v>0</v>
      </c>
      <c r="AL30">
        <f t="shared" si="4"/>
        <v>0</v>
      </c>
      <c r="AM30">
        <v>5.0000000000000001E-3</v>
      </c>
      <c r="AN30">
        <f t="shared" si="5"/>
        <v>0</v>
      </c>
      <c r="AO30">
        <v>0.1</v>
      </c>
      <c r="AP30">
        <f t="shared" si="6"/>
        <v>0</v>
      </c>
      <c r="AQ30">
        <v>0.1</v>
      </c>
      <c r="AR30">
        <f t="shared" si="7"/>
        <v>0</v>
      </c>
      <c r="AS30">
        <v>1</v>
      </c>
      <c r="AT30">
        <f t="shared" si="8"/>
        <v>0</v>
      </c>
      <c r="AU30">
        <v>0.01</v>
      </c>
      <c r="AV30">
        <f t="shared" si="9"/>
        <v>0.02</v>
      </c>
      <c r="AW30" s="37">
        <f>'S-Series Performance Report'!$C$36*0.01*'B1'!$F$12*'B1'!$F$5*$C$27</f>
        <v>0</v>
      </c>
      <c r="AX30">
        <f>'S-Series Performance Report'!$C$37*0.01*'B1'!$F$12*'B1'!$F$5*$C$27</f>
        <v>0</v>
      </c>
    </row>
    <row r="31" spans="2:50" x14ac:dyDescent="0.35">
      <c r="E31" t="s">
        <v>189</v>
      </c>
      <c r="F31">
        <f>'S-Series Performance Report'!C30</f>
        <v>0</v>
      </c>
      <c r="I31" s="1" t="s">
        <v>238</v>
      </c>
      <c r="J31" t="s">
        <v>248</v>
      </c>
      <c r="K31" t="s">
        <v>239</v>
      </c>
      <c r="Q31">
        <f>IF(AND($C$5=1,$C$15=1,$C$12=1,$C$20=1),1,0)</f>
        <v>0</v>
      </c>
      <c r="R31" t="s">
        <v>115</v>
      </c>
      <c r="S31" t="s">
        <v>46</v>
      </c>
      <c r="T31">
        <v>3000</v>
      </c>
      <c r="U31">
        <v>37.5</v>
      </c>
      <c r="V31">
        <v>0</v>
      </c>
      <c r="W31">
        <f>1/0.04</f>
        <v>25</v>
      </c>
      <c r="X31">
        <v>0.05</v>
      </c>
      <c r="Y31">
        <v>0.05</v>
      </c>
      <c r="Z31">
        <v>10</v>
      </c>
      <c r="AA31">
        <v>5.0000000000000001E-3</v>
      </c>
      <c r="AB31">
        <v>3626</v>
      </c>
      <c r="AC31">
        <v>14500</v>
      </c>
      <c r="AD31">
        <v>0.08</v>
      </c>
      <c r="AE31">
        <v>0.25</v>
      </c>
      <c r="AF31">
        <f t="shared" si="0"/>
        <v>0</v>
      </c>
      <c r="AG31">
        <v>0.03</v>
      </c>
      <c r="AH31">
        <f t="shared" si="1"/>
        <v>0</v>
      </c>
      <c r="AI31">
        <v>0</v>
      </c>
      <c r="AJ31">
        <f t="shared" si="2"/>
        <v>0</v>
      </c>
      <c r="AK31">
        <f t="shared" si="3"/>
        <v>0</v>
      </c>
      <c r="AL31">
        <f t="shared" si="4"/>
        <v>0</v>
      </c>
      <c r="AM31">
        <v>5.0000000000000001E-3</v>
      </c>
      <c r="AN31">
        <f t="shared" si="5"/>
        <v>0</v>
      </c>
      <c r="AO31">
        <v>0.1</v>
      </c>
      <c r="AP31">
        <f t="shared" si="6"/>
        <v>0</v>
      </c>
      <c r="AQ31">
        <v>0.1</v>
      </c>
      <c r="AR31">
        <f t="shared" si="7"/>
        <v>0</v>
      </c>
      <c r="AS31">
        <v>1</v>
      </c>
      <c r="AT31">
        <f t="shared" si="8"/>
        <v>0</v>
      </c>
      <c r="AU31">
        <v>0.01</v>
      </c>
      <c r="AV31">
        <f t="shared" si="9"/>
        <v>0.02</v>
      </c>
      <c r="AW31" s="37">
        <f>'S-Series Performance Report'!$C$36*0.01*'B1'!$F$12*'B1'!$F$5*$C$27</f>
        <v>0</v>
      </c>
      <c r="AX31">
        <f>'S-Series Performance Report'!$C$37*0.01*'B1'!$F$12*'B1'!$F$5*$C$27</f>
        <v>0</v>
      </c>
    </row>
    <row r="32" spans="2:50" x14ac:dyDescent="0.35">
      <c r="E32" t="s">
        <v>190</v>
      </c>
      <c r="F32">
        <f>IF('S-Series Performance Report'!C31="None",0,1)</f>
        <v>0</v>
      </c>
      <c r="I32" s="1" t="s">
        <v>250</v>
      </c>
      <c r="J32" t="s">
        <v>251</v>
      </c>
      <c r="K32" t="s">
        <v>252</v>
      </c>
      <c r="Q32">
        <f>IF(AND($C$6=1,$C$14=1,$C$12=1,$C$19=1),1,0)</f>
        <v>0</v>
      </c>
      <c r="R32" t="s">
        <v>116</v>
      </c>
      <c r="S32" t="s">
        <v>47</v>
      </c>
      <c r="T32">
        <v>200</v>
      </c>
      <c r="U32">
        <v>0.5</v>
      </c>
      <c r="V32">
        <v>0</v>
      </c>
      <c r="W32">
        <f>1/0.04</f>
        <v>25</v>
      </c>
      <c r="X32">
        <v>0.05</v>
      </c>
      <c r="Y32">
        <v>0.05</v>
      </c>
      <c r="Z32">
        <v>30</v>
      </c>
      <c r="AA32">
        <v>1.6670000000000001E-3</v>
      </c>
      <c r="AB32">
        <v>300</v>
      </c>
      <c r="AC32">
        <v>800</v>
      </c>
      <c r="AD32">
        <v>0.03</v>
      </c>
      <c r="AE32">
        <v>0.06</v>
      </c>
      <c r="AF32">
        <f t="shared" si="0"/>
        <v>0</v>
      </c>
      <c r="AG32">
        <v>0.03</v>
      </c>
      <c r="AH32">
        <f t="shared" si="1"/>
        <v>0</v>
      </c>
      <c r="AI32">
        <v>0</v>
      </c>
      <c r="AJ32">
        <f t="shared" si="2"/>
        <v>0</v>
      </c>
      <c r="AK32">
        <f t="shared" si="3"/>
        <v>0</v>
      </c>
      <c r="AL32">
        <f t="shared" si="4"/>
        <v>0</v>
      </c>
      <c r="AM32">
        <v>5.0000000000000001E-3</v>
      </c>
      <c r="AN32">
        <f t="shared" si="5"/>
        <v>0</v>
      </c>
      <c r="AO32">
        <v>0.1</v>
      </c>
      <c r="AP32">
        <f t="shared" si="6"/>
        <v>0</v>
      </c>
      <c r="AQ32">
        <v>0.1</v>
      </c>
      <c r="AR32">
        <f t="shared" si="7"/>
        <v>0</v>
      </c>
      <c r="AS32">
        <v>1</v>
      </c>
      <c r="AT32">
        <f t="shared" si="8"/>
        <v>0</v>
      </c>
      <c r="AU32">
        <v>0.01</v>
      </c>
      <c r="AV32">
        <f t="shared" si="9"/>
        <v>0.02</v>
      </c>
      <c r="AW32" s="37">
        <f>'S-Series Performance Report'!$C$36*0.01*'B1'!$F$12*'B1'!$F$5*$C$27</f>
        <v>0</v>
      </c>
      <c r="AX32">
        <f>'S-Series Performance Report'!$C$37*0.01*'B1'!$F$12*'B1'!$F$5*$C$27</f>
        <v>0</v>
      </c>
    </row>
    <row r="33" spans="5:50" x14ac:dyDescent="0.35">
      <c r="E33" t="s">
        <v>191</v>
      </c>
      <c r="F33">
        <f>'S-Series Performance Report'!C32</f>
        <v>0</v>
      </c>
      <c r="Q33">
        <f>IF(AND($C$6=1,$C$14=1,$C$12=1,$C$20=1),1,0)</f>
        <v>0</v>
      </c>
      <c r="R33" t="s">
        <v>117</v>
      </c>
      <c r="S33" t="s">
        <v>47</v>
      </c>
      <c r="T33">
        <v>2000</v>
      </c>
      <c r="U33">
        <v>5</v>
      </c>
      <c r="V33">
        <v>0</v>
      </c>
      <c r="W33">
        <f>1/0.04</f>
        <v>25</v>
      </c>
      <c r="X33">
        <v>0.05</v>
      </c>
      <c r="Y33">
        <v>0.05</v>
      </c>
      <c r="Z33">
        <v>80</v>
      </c>
      <c r="AA33">
        <v>6.2500000000000001E-4</v>
      </c>
      <c r="AB33">
        <v>3000</v>
      </c>
      <c r="AC33">
        <v>8000</v>
      </c>
      <c r="AD33">
        <v>0.03</v>
      </c>
      <c r="AE33">
        <v>0.06</v>
      </c>
      <c r="AF33">
        <f t="shared" si="0"/>
        <v>0</v>
      </c>
      <c r="AG33">
        <v>0.03</v>
      </c>
      <c r="AH33">
        <f t="shared" si="1"/>
        <v>0</v>
      </c>
      <c r="AI33">
        <v>0</v>
      </c>
      <c r="AJ33">
        <f t="shared" si="2"/>
        <v>0</v>
      </c>
      <c r="AK33">
        <f t="shared" si="3"/>
        <v>0</v>
      </c>
      <c r="AL33">
        <f t="shared" si="4"/>
        <v>0</v>
      </c>
      <c r="AM33">
        <v>5.0000000000000001E-3</v>
      </c>
      <c r="AN33">
        <f t="shared" si="5"/>
        <v>0</v>
      </c>
      <c r="AO33">
        <v>0.1</v>
      </c>
      <c r="AP33">
        <f t="shared" si="6"/>
        <v>0</v>
      </c>
      <c r="AQ33">
        <v>0.1</v>
      </c>
      <c r="AR33">
        <f t="shared" si="7"/>
        <v>0</v>
      </c>
      <c r="AS33">
        <v>1</v>
      </c>
      <c r="AT33">
        <f t="shared" si="8"/>
        <v>0</v>
      </c>
      <c r="AU33">
        <v>0.01</v>
      </c>
      <c r="AV33">
        <f t="shared" si="9"/>
        <v>0.02</v>
      </c>
      <c r="AW33" s="37">
        <f>'S-Series Performance Report'!$C$36*0.01*'B1'!$F$12*'B1'!$F$5*$C$27</f>
        <v>0</v>
      </c>
      <c r="AX33">
        <f>'S-Series Performance Report'!$C$37*0.01*'B1'!$F$12*'B1'!$F$5*$C$27</f>
        <v>0</v>
      </c>
    </row>
    <row r="34" spans="5:50" x14ac:dyDescent="0.35">
      <c r="E34" t="s">
        <v>35</v>
      </c>
      <c r="F34">
        <f>'S-Series Performance Report'!C33</f>
        <v>0</v>
      </c>
      <c r="Q34">
        <f>IF(AND($C$6=1,$C$14=1,$C$12=1,$C$21=1),1,0)</f>
        <v>0</v>
      </c>
      <c r="R34" t="s">
        <v>118</v>
      </c>
      <c r="S34" t="s">
        <v>47</v>
      </c>
      <c r="T34">
        <v>6000</v>
      </c>
      <c r="U34">
        <v>75</v>
      </c>
      <c r="V34">
        <v>0</v>
      </c>
      <c r="W34">
        <v>3</v>
      </c>
      <c r="X34">
        <v>0.05</v>
      </c>
      <c r="Y34">
        <v>0.05</v>
      </c>
      <c r="Z34">
        <v>5</v>
      </c>
      <c r="AA34">
        <v>0.01</v>
      </c>
      <c r="AB34">
        <v>8580</v>
      </c>
      <c r="AC34">
        <v>24000</v>
      </c>
      <c r="AD34">
        <v>0.03</v>
      </c>
      <c r="AE34">
        <v>0.06</v>
      </c>
      <c r="AF34">
        <f t="shared" si="0"/>
        <v>0</v>
      </c>
      <c r="AG34">
        <v>0.03</v>
      </c>
      <c r="AH34">
        <f t="shared" si="1"/>
        <v>0</v>
      </c>
      <c r="AI34">
        <v>0</v>
      </c>
      <c r="AJ34">
        <f t="shared" si="2"/>
        <v>0</v>
      </c>
      <c r="AK34">
        <f t="shared" si="3"/>
        <v>0</v>
      </c>
      <c r="AL34">
        <f t="shared" si="4"/>
        <v>0</v>
      </c>
      <c r="AM34">
        <v>5.0000000000000001E-3</v>
      </c>
      <c r="AN34">
        <f t="shared" si="5"/>
        <v>0</v>
      </c>
      <c r="AO34">
        <v>0.1</v>
      </c>
      <c r="AP34">
        <f t="shared" si="6"/>
        <v>0</v>
      </c>
      <c r="AQ34">
        <v>0.1</v>
      </c>
      <c r="AR34">
        <f t="shared" si="7"/>
        <v>0</v>
      </c>
      <c r="AS34">
        <v>1</v>
      </c>
      <c r="AT34">
        <f t="shared" si="8"/>
        <v>0</v>
      </c>
      <c r="AU34">
        <v>0.01</v>
      </c>
      <c r="AV34">
        <f t="shared" si="9"/>
        <v>0.02</v>
      </c>
      <c r="AW34" s="37">
        <f>'S-Series Performance Report'!$C$36*0.01*'B1'!$F$12*'B1'!$F$5*$C$27</f>
        <v>0</v>
      </c>
      <c r="AX34">
        <f>'S-Series Performance Report'!$C$37*0.01*'B1'!$F$12*'B1'!$F$5*$C$27</f>
        <v>0</v>
      </c>
    </row>
    <row r="35" spans="5:50" x14ac:dyDescent="0.35">
      <c r="E35" t="s">
        <v>192</v>
      </c>
      <c r="F35">
        <f>IF('S-Series Performance Report'!C34="None",0,1)</f>
        <v>0</v>
      </c>
      <c r="Q35">
        <f>IF(AND($C$6=1,$C$15=1,$C$12=1,$C$17=1),1,0)</f>
        <v>0</v>
      </c>
      <c r="R35" t="s">
        <v>119</v>
      </c>
      <c r="S35" t="s">
        <v>47</v>
      </c>
      <c r="T35">
        <v>7.2182399999999998</v>
      </c>
      <c r="U35">
        <v>1.8045599999999998E-2</v>
      </c>
      <c r="V35">
        <f>-T35</f>
        <v>-7.2182399999999998</v>
      </c>
      <c r="W35">
        <v>3</v>
      </c>
      <c r="X35">
        <v>0.05</v>
      </c>
      <c r="Y35">
        <v>0.05</v>
      </c>
      <c r="Z35">
        <v>10</v>
      </c>
      <c r="AA35">
        <v>5.0000000000000001E-3</v>
      </c>
      <c r="AB35">
        <v>3626</v>
      </c>
      <c r="AC35">
        <v>14500</v>
      </c>
      <c r="AD35">
        <v>0.04</v>
      </c>
      <c r="AE35">
        <v>0.05</v>
      </c>
      <c r="AF35">
        <f t="shared" si="0"/>
        <v>0</v>
      </c>
      <c r="AG35">
        <v>0.03</v>
      </c>
      <c r="AH35">
        <f t="shared" si="1"/>
        <v>0</v>
      </c>
      <c r="AI35">
        <v>0</v>
      </c>
      <c r="AJ35">
        <f t="shared" si="2"/>
        <v>0</v>
      </c>
      <c r="AK35">
        <f t="shared" si="3"/>
        <v>0</v>
      </c>
      <c r="AL35">
        <f t="shared" si="4"/>
        <v>0</v>
      </c>
      <c r="AM35">
        <v>5.0000000000000001E-3</v>
      </c>
      <c r="AN35">
        <f t="shared" si="5"/>
        <v>0</v>
      </c>
      <c r="AO35">
        <v>0.1</v>
      </c>
      <c r="AP35">
        <f t="shared" si="6"/>
        <v>0</v>
      </c>
      <c r="AQ35">
        <v>0.1</v>
      </c>
      <c r="AR35">
        <f t="shared" si="7"/>
        <v>0</v>
      </c>
      <c r="AS35">
        <v>1</v>
      </c>
      <c r="AT35">
        <f t="shared" si="8"/>
        <v>0</v>
      </c>
      <c r="AU35">
        <v>0.01</v>
      </c>
      <c r="AV35">
        <f t="shared" si="9"/>
        <v>0.02</v>
      </c>
      <c r="AW35" s="37">
        <f>'S-Series Performance Report'!$C$36*0.01*'B1'!$F$12*'B1'!$F$5*$C$27</f>
        <v>0</v>
      </c>
      <c r="AX35">
        <f>'S-Series Performance Report'!$C$37*0.01*'B1'!$F$12*'B1'!$F$5*$C$27</f>
        <v>0</v>
      </c>
    </row>
    <row r="36" spans="5:50" x14ac:dyDescent="0.35">
      <c r="E36" t="s">
        <v>193</v>
      </c>
      <c r="F36">
        <f>'S-Series Performance Report'!C35</f>
        <v>0</v>
      </c>
      <c r="Q36">
        <f>IF(AND($C$6=1,$C$15=1,$C$12=1,$C$18=1),1,0)</f>
        <v>0</v>
      </c>
      <c r="R36" t="s">
        <v>120</v>
      </c>
      <c r="S36" t="s">
        <v>47</v>
      </c>
      <c r="T36">
        <v>36.091200000000001</v>
      </c>
      <c r="U36">
        <v>8.9867059999999999E-2</v>
      </c>
      <c r="V36">
        <v>-14.7</v>
      </c>
      <c r="W36">
        <v>3</v>
      </c>
      <c r="X36">
        <v>0.05</v>
      </c>
      <c r="Y36">
        <v>0.05</v>
      </c>
      <c r="Z36">
        <v>20</v>
      </c>
      <c r="AA36">
        <v>2.5000000000000001E-3</v>
      </c>
      <c r="AB36">
        <v>3626</v>
      </c>
      <c r="AC36">
        <v>14500</v>
      </c>
      <c r="AD36">
        <v>0.04</v>
      </c>
      <c r="AE36">
        <v>0.05</v>
      </c>
      <c r="AF36">
        <f t="shared" si="0"/>
        <v>0</v>
      </c>
      <c r="AG36">
        <v>0.03</v>
      </c>
      <c r="AH36">
        <f t="shared" si="1"/>
        <v>0</v>
      </c>
      <c r="AI36">
        <v>0</v>
      </c>
      <c r="AJ36">
        <f t="shared" si="2"/>
        <v>0</v>
      </c>
      <c r="AK36">
        <f t="shared" si="3"/>
        <v>0</v>
      </c>
      <c r="AL36">
        <f t="shared" si="4"/>
        <v>0</v>
      </c>
      <c r="AM36">
        <v>5.0000000000000001E-3</v>
      </c>
      <c r="AN36">
        <f t="shared" si="5"/>
        <v>0</v>
      </c>
      <c r="AO36">
        <v>0.1</v>
      </c>
      <c r="AP36">
        <f t="shared" si="6"/>
        <v>0</v>
      </c>
      <c r="AQ36">
        <v>0.1</v>
      </c>
      <c r="AR36">
        <f t="shared" si="7"/>
        <v>0</v>
      </c>
      <c r="AS36">
        <v>1</v>
      </c>
      <c r="AT36">
        <f t="shared" si="8"/>
        <v>0</v>
      </c>
      <c r="AU36">
        <v>0.01</v>
      </c>
      <c r="AV36">
        <f t="shared" si="9"/>
        <v>0.02</v>
      </c>
      <c r="AW36" s="37">
        <f>'S-Series Performance Report'!$C$36*0.01*'B1'!$F$12*'B1'!$F$5*$C$27</f>
        <v>0</v>
      </c>
      <c r="AX36">
        <f>'S-Series Performance Report'!$C$37*0.01*'B1'!$F$12*'B1'!$F$5*$C$27</f>
        <v>0</v>
      </c>
    </row>
    <row r="37" spans="5:50" x14ac:dyDescent="0.35">
      <c r="E37" t="s">
        <v>211</v>
      </c>
      <c r="F37">
        <f>F5*0.01*IF(F16&lt;INDEX(Z5:Z61,F14),F12*INDEX(Y5:Y61,F14),INDEX(T5:T61,F14)*INDEX(AA5:AA61,F14))</f>
        <v>0.1</v>
      </c>
      <c r="Q37">
        <f>IF(AND($C$6=1,$C$15=1,$C$12=1,$C$19=1),1,0)</f>
        <v>0</v>
      </c>
      <c r="R37" t="s">
        <v>121</v>
      </c>
      <c r="S37" t="s">
        <v>47</v>
      </c>
      <c r="T37">
        <v>300</v>
      </c>
      <c r="U37">
        <v>3.75</v>
      </c>
      <c r="V37">
        <v>-14.7</v>
      </c>
      <c r="W37">
        <f>1/0.04</f>
        <v>25</v>
      </c>
      <c r="X37">
        <v>0.05</v>
      </c>
      <c r="Y37">
        <v>0.05</v>
      </c>
      <c r="Z37">
        <v>30</v>
      </c>
      <c r="AA37">
        <v>1.6670000000000001E-3</v>
      </c>
      <c r="AB37">
        <v>3626</v>
      </c>
      <c r="AC37">
        <v>14500</v>
      </c>
      <c r="AD37">
        <v>0.04</v>
      </c>
      <c r="AE37">
        <v>0.05</v>
      </c>
      <c r="AF37">
        <f t="shared" si="0"/>
        <v>0</v>
      </c>
      <c r="AG37">
        <v>0.03</v>
      </c>
      <c r="AH37">
        <f t="shared" si="1"/>
        <v>0</v>
      </c>
      <c r="AI37">
        <v>0</v>
      </c>
      <c r="AJ37">
        <f t="shared" si="2"/>
        <v>0</v>
      </c>
      <c r="AK37">
        <f t="shared" si="3"/>
        <v>0</v>
      </c>
      <c r="AL37">
        <f t="shared" si="4"/>
        <v>0</v>
      </c>
      <c r="AM37">
        <v>5.0000000000000001E-3</v>
      </c>
      <c r="AN37">
        <f t="shared" si="5"/>
        <v>0</v>
      </c>
      <c r="AO37">
        <v>0.1</v>
      </c>
      <c r="AP37">
        <f t="shared" si="6"/>
        <v>0</v>
      </c>
      <c r="AQ37">
        <v>0.1</v>
      </c>
      <c r="AR37">
        <f t="shared" si="7"/>
        <v>0</v>
      </c>
      <c r="AS37">
        <v>1</v>
      </c>
      <c r="AT37">
        <f t="shared" si="8"/>
        <v>0</v>
      </c>
      <c r="AU37">
        <v>0.01</v>
      </c>
      <c r="AV37">
        <f t="shared" si="9"/>
        <v>0.02</v>
      </c>
      <c r="AW37" s="37">
        <f>'S-Series Performance Report'!$C$36*0.01*'B1'!$F$12*'B1'!$F$5*$C$27</f>
        <v>0</v>
      </c>
      <c r="AX37">
        <f>'S-Series Performance Report'!$C$37*0.01*'B1'!$F$12*'B1'!$F$5*$C$27</f>
        <v>0</v>
      </c>
    </row>
    <row r="38" spans="5:50" x14ac:dyDescent="0.35">
      <c r="E38" t="s">
        <v>212</v>
      </c>
      <c r="F38">
        <f>F5*0.01*IF(F16&lt;INDEX(Z5:Z61,F14),F12*INDEX(Y5:Y61,F14),INDEX(T5:T61,F14)*INDEX(AA5:AA61,F14))</f>
        <v>0.1</v>
      </c>
      <c r="Q38">
        <f>IF(AND($C$6=1,$C$15=1,$C$12=1,$C$20=1),1,0)</f>
        <v>0</v>
      </c>
      <c r="R38" t="s">
        <v>122</v>
      </c>
      <c r="S38" t="s">
        <v>47</v>
      </c>
      <c r="T38">
        <v>3000</v>
      </c>
      <c r="U38">
        <v>37.5</v>
      </c>
      <c r="V38">
        <v>-14.7</v>
      </c>
      <c r="W38">
        <v>3</v>
      </c>
      <c r="X38">
        <v>0.05</v>
      </c>
      <c r="Y38">
        <v>0.05</v>
      </c>
      <c r="Z38">
        <v>3</v>
      </c>
      <c r="AA38">
        <v>1.6670000000000001E-2</v>
      </c>
      <c r="AB38">
        <v>3626</v>
      </c>
      <c r="AC38">
        <v>14500</v>
      </c>
      <c r="AD38">
        <v>0.08</v>
      </c>
      <c r="AE38">
        <v>0.25</v>
      </c>
      <c r="AF38">
        <f t="shared" si="0"/>
        <v>0</v>
      </c>
      <c r="AG38">
        <v>0.03</v>
      </c>
      <c r="AH38">
        <f t="shared" si="1"/>
        <v>0</v>
      </c>
      <c r="AI38">
        <v>0</v>
      </c>
      <c r="AJ38">
        <f t="shared" si="2"/>
        <v>0</v>
      </c>
      <c r="AK38">
        <f t="shared" si="3"/>
        <v>0</v>
      </c>
      <c r="AL38">
        <f t="shared" si="4"/>
        <v>0</v>
      </c>
      <c r="AM38">
        <v>5.0000000000000001E-3</v>
      </c>
      <c r="AN38">
        <f t="shared" si="5"/>
        <v>0</v>
      </c>
      <c r="AO38">
        <v>0.1</v>
      </c>
      <c r="AP38">
        <f t="shared" si="6"/>
        <v>0</v>
      </c>
      <c r="AQ38">
        <v>0.1</v>
      </c>
      <c r="AR38">
        <f t="shared" si="7"/>
        <v>0</v>
      </c>
      <c r="AS38">
        <v>1</v>
      </c>
      <c r="AT38">
        <f t="shared" si="8"/>
        <v>0</v>
      </c>
      <c r="AU38">
        <v>0.01</v>
      </c>
      <c r="AV38">
        <f t="shared" si="9"/>
        <v>0.02</v>
      </c>
      <c r="AW38" s="37">
        <f>'S-Series Performance Report'!$C$36*0.01*'B1'!$F$12*'B1'!$F$5*$C$27</f>
        <v>0</v>
      </c>
      <c r="AX38">
        <f>'S-Series Performance Report'!$C$37*0.01*'B1'!$F$12*'B1'!$F$5*$C$27</f>
        <v>0</v>
      </c>
    </row>
    <row r="39" spans="5:50" x14ac:dyDescent="0.35">
      <c r="E39" t="s">
        <v>213</v>
      </c>
      <c r="F39">
        <f>F5*0.01*IF(F16&lt;INDEX(Z5:Z61,F14),F12*INDEX(Y5:Y61,F14),INDEX(T5:T61,F14)*INDEX(AA5:AA61,F14))</f>
        <v>0.1</v>
      </c>
      <c r="Q39">
        <f>IF(AND($C$6=1,$C$15=1,$C$12=1,$C$21=1),1,0)</f>
        <v>0</v>
      </c>
      <c r="R39" t="s">
        <v>123</v>
      </c>
      <c r="S39" t="s">
        <v>47</v>
      </c>
      <c r="T39">
        <v>5000</v>
      </c>
      <c r="U39">
        <v>165</v>
      </c>
      <c r="V39">
        <v>-14.7</v>
      </c>
      <c r="W39">
        <v>3</v>
      </c>
      <c r="X39">
        <v>0.05</v>
      </c>
      <c r="Y39">
        <v>0.05</v>
      </c>
      <c r="Z39">
        <v>5</v>
      </c>
      <c r="AA39">
        <v>0.01</v>
      </c>
      <c r="AB39">
        <v>5800</v>
      </c>
      <c r="AC39">
        <v>14500</v>
      </c>
      <c r="AD39">
        <v>0.08</v>
      </c>
      <c r="AE39">
        <v>0.25</v>
      </c>
      <c r="AF39">
        <f t="shared" si="0"/>
        <v>0</v>
      </c>
      <c r="AG39">
        <v>0.03</v>
      </c>
      <c r="AH39">
        <f t="shared" si="1"/>
        <v>0</v>
      </c>
      <c r="AI39">
        <v>0</v>
      </c>
      <c r="AJ39">
        <f t="shared" si="2"/>
        <v>0</v>
      </c>
      <c r="AK39">
        <f t="shared" si="3"/>
        <v>0</v>
      </c>
      <c r="AL39">
        <f t="shared" si="4"/>
        <v>0</v>
      </c>
      <c r="AM39">
        <v>5.0000000000000001E-3</v>
      </c>
      <c r="AN39">
        <f t="shared" si="5"/>
        <v>0</v>
      </c>
      <c r="AO39">
        <v>0.1</v>
      </c>
      <c r="AP39">
        <f t="shared" si="6"/>
        <v>0</v>
      </c>
      <c r="AQ39">
        <v>0.1</v>
      </c>
      <c r="AR39">
        <f t="shared" si="7"/>
        <v>0</v>
      </c>
      <c r="AS39">
        <v>1</v>
      </c>
      <c r="AT39">
        <f t="shared" si="8"/>
        <v>0</v>
      </c>
      <c r="AU39">
        <v>0.01</v>
      </c>
      <c r="AV39">
        <f t="shared" si="9"/>
        <v>0.02</v>
      </c>
      <c r="AW39" s="37">
        <f>'S-Series Performance Report'!$C$36*0.01*'B1'!$F$12*'B1'!$F$5*$C$27</f>
        <v>0</v>
      </c>
      <c r="AX39">
        <f>'S-Series Performance Report'!$C$37*0.01*'B1'!$F$12*'B1'!$F$5*$C$27</f>
        <v>0</v>
      </c>
    </row>
    <row r="40" spans="5:50" x14ac:dyDescent="0.35">
      <c r="E40" t="s">
        <v>214</v>
      </c>
      <c r="F40">
        <f>F5*0.01*IF(AND(F28=1,F22=1)=TRUE,F6*INDEX(X5:X61,F14),IF(AND(F28=1,F22=0)=TRUE,INDEX(X5:X61,F14)*INDEX(T5:T61,F14)/INDEX(W5:W61,F14),IF(F29=1,F12*INDEX(Y5:Y61,F14),INDEX(T5:T61,F14)*INDEX(AA5:AA61,F14))))</f>
        <v>0.1</v>
      </c>
      <c r="Q40">
        <f>IF(AND($C$7=1,$C$15=1,$C$12=1,$C$17=1),1,0)</f>
        <v>1</v>
      </c>
      <c r="R40" t="s">
        <v>124</v>
      </c>
      <c r="S40" t="s">
        <v>48</v>
      </c>
      <c r="T40">
        <v>7.2182399999999998</v>
      </c>
      <c r="U40">
        <v>1.8045599999999998E-2</v>
      </c>
      <c r="V40">
        <f>-T40</f>
        <v>-7.2182399999999998</v>
      </c>
      <c r="W40">
        <v>3</v>
      </c>
      <c r="X40">
        <v>0.05</v>
      </c>
      <c r="Y40">
        <v>0.05</v>
      </c>
      <c r="Z40">
        <v>10</v>
      </c>
      <c r="AA40">
        <v>5.0000000000000001E-3</v>
      </c>
      <c r="AB40">
        <v>3626</v>
      </c>
      <c r="AC40">
        <v>14500</v>
      </c>
      <c r="AD40">
        <v>0.04</v>
      </c>
      <c r="AE40">
        <v>0.05</v>
      </c>
      <c r="AF40">
        <f t="shared" si="0"/>
        <v>0</v>
      </c>
      <c r="AG40">
        <v>0.03</v>
      </c>
      <c r="AH40">
        <f t="shared" si="1"/>
        <v>0</v>
      </c>
      <c r="AI40">
        <v>0.15</v>
      </c>
      <c r="AJ40">
        <f t="shared" si="2"/>
        <v>0</v>
      </c>
      <c r="AK40">
        <f t="shared" si="3"/>
        <v>0</v>
      </c>
      <c r="AL40">
        <f t="shared" si="4"/>
        <v>0</v>
      </c>
      <c r="AM40">
        <v>5.0000000000000001E-3</v>
      </c>
      <c r="AN40">
        <f t="shared" si="5"/>
        <v>0</v>
      </c>
      <c r="AO40">
        <v>0.1</v>
      </c>
      <c r="AP40">
        <f t="shared" si="6"/>
        <v>0</v>
      </c>
      <c r="AQ40">
        <v>0.1</v>
      </c>
      <c r="AR40">
        <f t="shared" si="7"/>
        <v>0</v>
      </c>
      <c r="AS40">
        <v>1</v>
      </c>
      <c r="AT40">
        <f t="shared" si="8"/>
        <v>0</v>
      </c>
      <c r="AU40">
        <v>0.01</v>
      </c>
      <c r="AV40">
        <f t="shared" si="9"/>
        <v>0.02</v>
      </c>
      <c r="AW40" s="37">
        <f>'S-Series Performance Report'!$C$36*0.01*'B1'!$F$12*'B1'!$F$5*$C$27</f>
        <v>0</v>
      </c>
      <c r="AX40">
        <f>'S-Series Performance Report'!$C$37*0.01*'B1'!$F$12*'B1'!$F$5*$C$27</f>
        <v>0</v>
      </c>
    </row>
    <row r="41" spans="5:50" x14ac:dyDescent="0.35">
      <c r="E41" t="s">
        <v>215</v>
      </c>
      <c r="F41">
        <f>F5*0.01*IF(AND(F28=1,F23=1)=TRUE,F7*INDEX(X5:X61,F14),IF(AND(F28=1,F23=0)=TRUE,INDEX(X5:X61,F14)*INDEX(T5:T61,F14)/INDEX(W5:W61,F14),IF(F29=1,F12*INDEX(Y5:Y61,F14),INDEX(T5:T61,F14)*INDEX(AA5:AA61,F14))))</f>
        <v>3.3333351104E-2</v>
      </c>
      <c r="Q41">
        <f>IF(AND($C$7=1,$C$15=1,$C$12=1,$C$18=1),1,0)</f>
        <v>0</v>
      </c>
      <c r="R41" t="s">
        <v>125</v>
      </c>
      <c r="S41" t="s">
        <v>48</v>
      </c>
      <c r="T41">
        <v>36.091200000000001</v>
      </c>
      <c r="U41">
        <v>8.9867059999999999E-2</v>
      </c>
      <c r="V41">
        <f>-T41</f>
        <v>-36.091200000000001</v>
      </c>
      <c r="W41">
        <v>3</v>
      </c>
      <c r="X41">
        <v>0.05</v>
      </c>
      <c r="Y41">
        <v>0.05</v>
      </c>
      <c r="Z41">
        <v>20</v>
      </c>
      <c r="AA41">
        <v>2.5000000000000001E-3</v>
      </c>
      <c r="AB41">
        <v>3626</v>
      </c>
      <c r="AC41">
        <v>14500</v>
      </c>
      <c r="AD41">
        <v>0.04</v>
      </c>
      <c r="AE41">
        <v>0.05</v>
      </c>
      <c r="AF41">
        <f t="shared" si="0"/>
        <v>0</v>
      </c>
      <c r="AG41">
        <v>0.03</v>
      </c>
      <c r="AH41">
        <f t="shared" si="1"/>
        <v>0</v>
      </c>
      <c r="AI41">
        <v>0.15</v>
      </c>
      <c r="AJ41">
        <f t="shared" si="2"/>
        <v>0</v>
      </c>
      <c r="AK41">
        <f t="shared" si="3"/>
        <v>0</v>
      </c>
      <c r="AL41">
        <f t="shared" si="4"/>
        <v>0</v>
      </c>
      <c r="AM41">
        <v>5.0000000000000001E-3</v>
      </c>
      <c r="AN41">
        <f t="shared" si="5"/>
        <v>0</v>
      </c>
      <c r="AO41">
        <v>0.1</v>
      </c>
      <c r="AP41">
        <f t="shared" si="6"/>
        <v>0</v>
      </c>
      <c r="AQ41">
        <v>0.1</v>
      </c>
      <c r="AR41">
        <f t="shared" si="7"/>
        <v>0</v>
      </c>
      <c r="AS41">
        <v>1</v>
      </c>
      <c r="AT41">
        <f t="shared" si="8"/>
        <v>0</v>
      </c>
      <c r="AU41">
        <v>0.01</v>
      </c>
      <c r="AV41">
        <f t="shared" si="9"/>
        <v>0.02</v>
      </c>
      <c r="AW41" s="37">
        <f>'S-Series Performance Report'!$C$36*0.01*'B1'!$F$12*'B1'!$F$5*$C$27</f>
        <v>0</v>
      </c>
      <c r="AX41">
        <f>'S-Series Performance Report'!$C$37*0.01*'B1'!$F$12*'B1'!$F$5*$C$27</f>
        <v>0</v>
      </c>
    </row>
    <row r="42" spans="5:50" x14ac:dyDescent="0.35">
      <c r="E42" t="s">
        <v>216</v>
      </c>
      <c r="F42">
        <f>F5*0.01*IF(AND(F28=1,F24=1)=TRUE,F8*INDEX(X5:X61,F14),IF(AND(F28=1,F24=0)=TRUE,INDEX(X5:X61,F14)*INDEX(T5:T61,F14)/INDEX(W5:W61,F14),IF(F29=1,F12*INDEX(Y5:Y61,F14),INDEX(T5:T61,F14)*INDEX(AA5:AA61,F14))))</f>
        <v>3.3333351104E-2</v>
      </c>
      <c r="Q42">
        <f>IF(AND($C$7=1,$C$15=1,$C$12=1,$C$19=1),1,0)</f>
        <v>0</v>
      </c>
      <c r="R42" t="s">
        <v>126</v>
      </c>
      <c r="S42" t="s">
        <v>48</v>
      </c>
      <c r="T42">
        <v>300</v>
      </c>
      <c r="U42">
        <v>3.75</v>
      </c>
      <c r="V42">
        <v>-14.7</v>
      </c>
      <c r="W42">
        <f>1/0.1</f>
        <v>10</v>
      </c>
      <c r="X42">
        <v>0.05</v>
      </c>
      <c r="Y42">
        <v>0.05</v>
      </c>
      <c r="Z42">
        <v>30</v>
      </c>
      <c r="AA42">
        <v>1.6670000000000001E-3</v>
      </c>
      <c r="AB42">
        <v>3626</v>
      </c>
      <c r="AC42">
        <v>14500</v>
      </c>
      <c r="AD42">
        <v>0.04</v>
      </c>
      <c r="AE42">
        <v>0.05</v>
      </c>
      <c r="AF42">
        <f t="shared" si="0"/>
        <v>0</v>
      </c>
      <c r="AG42">
        <v>0.03</v>
      </c>
      <c r="AH42">
        <f t="shared" si="1"/>
        <v>0</v>
      </c>
      <c r="AI42">
        <v>0.15</v>
      </c>
      <c r="AJ42">
        <f t="shared" si="2"/>
        <v>0</v>
      </c>
      <c r="AK42">
        <f t="shared" si="3"/>
        <v>0</v>
      </c>
      <c r="AL42">
        <f t="shared" si="4"/>
        <v>0</v>
      </c>
      <c r="AM42">
        <v>5.0000000000000001E-3</v>
      </c>
      <c r="AN42">
        <f t="shared" si="5"/>
        <v>0</v>
      </c>
      <c r="AO42">
        <v>0.1</v>
      </c>
      <c r="AP42">
        <f t="shared" si="6"/>
        <v>0</v>
      </c>
      <c r="AQ42">
        <v>0.1</v>
      </c>
      <c r="AR42">
        <f t="shared" si="7"/>
        <v>0</v>
      </c>
      <c r="AS42">
        <v>1</v>
      </c>
      <c r="AT42">
        <f t="shared" si="8"/>
        <v>0</v>
      </c>
      <c r="AU42">
        <v>0.01</v>
      </c>
      <c r="AV42">
        <f t="shared" si="9"/>
        <v>0.02</v>
      </c>
      <c r="AW42" s="37">
        <f>'S-Series Performance Report'!$C$36*0.01*'B1'!$F$12*'B1'!$F$5*$C$27</f>
        <v>0</v>
      </c>
      <c r="AX42">
        <f>'S-Series Performance Report'!$C$37*0.01*'B1'!$F$12*'B1'!$F$5*$C$27</f>
        <v>0</v>
      </c>
    </row>
    <row r="43" spans="5:50" x14ac:dyDescent="0.35">
      <c r="E43" t="s">
        <v>242</v>
      </c>
      <c r="F43">
        <f>('S-Series Performance Report'!G29/SQRT('S-Series Performance Report'!C14))*SQRT('S-Series Performance Report'!C15)</f>
        <v>0</v>
      </c>
      <c r="Q43">
        <f>IF(AND($C$7=1,$C$15=1,$C$12=1,$C$20=1),1,0)</f>
        <v>0</v>
      </c>
      <c r="R43" t="s">
        <v>127</v>
      </c>
      <c r="S43" t="s">
        <v>48</v>
      </c>
      <c r="T43">
        <v>3000</v>
      </c>
      <c r="U43">
        <v>37.5</v>
      </c>
      <c r="V43">
        <v>0</v>
      </c>
      <c r="W43">
        <f>1/0.1</f>
        <v>10</v>
      </c>
      <c r="X43">
        <v>0.05</v>
      </c>
      <c r="Y43">
        <v>0.05</v>
      </c>
      <c r="Z43">
        <v>10</v>
      </c>
      <c r="AA43">
        <v>5.0000000000000001E-3</v>
      </c>
      <c r="AB43">
        <v>3626</v>
      </c>
      <c r="AC43">
        <v>14500</v>
      </c>
      <c r="AD43">
        <v>0.04</v>
      </c>
      <c r="AE43">
        <v>0.05</v>
      </c>
      <c r="AF43">
        <f t="shared" si="0"/>
        <v>0</v>
      </c>
      <c r="AG43">
        <v>0.03</v>
      </c>
      <c r="AH43">
        <f t="shared" si="1"/>
        <v>0</v>
      </c>
      <c r="AI43">
        <v>0.15</v>
      </c>
      <c r="AJ43">
        <f t="shared" si="2"/>
        <v>0</v>
      </c>
      <c r="AK43">
        <f t="shared" si="3"/>
        <v>0</v>
      </c>
      <c r="AL43">
        <f t="shared" si="4"/>
        <v>0</v>
      </c>
      <c r="AM43">
        <v>5.0000000000000001E-3</v>
      </c>
      <c r="AN43">
        <f t="shared" si="5"/>
        <v>0</v>
      </c>
      <c r="AO43">
        <v>0.1</v>
      </c>
      <c r="AP43">
        <f t="shared" si="6"/>
        <v>0</v>
      </c>
      <c r="AQ43">
        <v>0.1</v>
      </c>
      <c r="AR43">
        <f t="shared" si="7"/>
        <v>0</v>
      </c>
      <c r="AS43">
        <v>1</v>
      </c>
      <c r="AT43">
        <f t="shared" si="8"/>
        <v>0</v>
      </c>
      <c r="AU43">
        <v>0.01</v>
      </c>
      <c r="AV43">
        <f t="shared" si="9"/>
        <v>0.02</v>
      </c>
      <c r="AW43" s="37">
        <f>'S-Series Performance Report'!$C$36*0.01*'B1'!$F$12*'B1'!$F$5*$C$27</f>
        <v>0</v>
      </c>
      <c r="AX43">
        <f>'S-Series Performance Report'!$C$37*0.01*'B1'!$F$12*'B1'!$F$5*$C$27</f>
        <v>0</v>
      </c>
    </row>
    <row r="44" spans="5:50" x14ac:dyDescent="0.35">
      <c r="E44" t="s">
        <v>234</v>
      </c>
      <c r="F44">
        <f>(('S-Series Performance Report'!G29/SQRT('S-Series Performance Report'!C14))*SQRT('S-Series Performance Report'!C14+'S-Series Performance Report'!G20))-'S-Series Performance Report'!G29</f>
        <v>0.14997750674751842</v>
      </c>
      <c r="Q44">
        <f>IF(AND($C$5=1,$C$14=1,$C$13=1,$C$19=1),1,0)</f>
        <v>0</v>
      </c>
      <c r="R44" t="s">
        <v>128</v>
      </c>
      <c r="S44" t="s">
        <v>53</v>
      </c>
      <c r="T44">
        <v>200</v>
      </c>
      <c r="U44">
        <v>0.5</v>
      </c>
      <c r="V44">
        <v>0</v>
      </c>
      <c r="W44">
        <f>1/0.2</f>
        <v>5</v>
      </c>
      <c r="X44">
        <v>2.5000000000000001E-2</v>
      </c>
      <c r="Y44">
        <v>2.5000000000000001E-2</v>
      </c>
      <c r="Z44">
        <v>15</v>
      </c>
      <c r="AA44">
        <v>1.6670000000000001E-3</v>
      </c>
      <c r="AB44">
        <v>300</v>
      </c>
      <c r="AC44">
        <v>800</v>
      </c>
      <c r="AD44">
        <v>0.03</v>
      </c>
      <c r="AE44">
        <v>0.06</v>
      </c>
      <c r="AF44">
        <f t="shared" si="0"/>
        <v>0</v>
      </c>
      <c r="AG44">
        <v>1.4999999999999999E-2</v>
      </c>
      <c r="AH44">
        <f t="shared" si="1"/>
        <v>0</v>
      </c>
      <c r="AI44">
        <v>0</v>
      </c>
      <c r="AJ44">
        <f t="shared" si="2"/>
        <v>0</v>
      </c>
      <c r="AK44">
        <f t="shared" si="3"/>
        <v>0</v>
      </c>
      <c r="AL44">
        <f t="shared" si="4"/>
        <v>0</v>
      </c>
      <c r="AM44">
        <v>5.0000000000000001E-3</v>
      </c>
      <c r="AN44">
        <f t="shared" si="5"/>
        <v>0</v>
      </c>
      <c r="AO44">
        <v>0.1</v>
      </c>
      <c r="AP44">
        <f t="shared" si="6"/>
        <v>0</v>
      </c>
      <c r="AQ44">
        <v>0.1</v>
      </c>
      <c r="AR44">
        <f t="shared" si="7"/>
        <v>0</v>
      </c>
      <c r="AS44">
        <v>1</v>
      </c>
      <c r="AT44">
        <f t="shared" si="8"/>
        <v>0</v>
      </c>
      <c r="AU44">
        <v>0.01</v>
      </c>
      <c r="AV44">
        <f t="shared" si="9"/>
        <v>0.02</v>
      </c>
      <c r="AW44" s="37">
        <f>'S-Series Performance Report'!$C$36*0.01*'B1'!$F$12*'B1'!$F$5*$C$27</f>
        <v>0</v>
      </c>
      <c r="AX44">
        <f>'S-Series Performance Report'!$C$37*0.01*'B1'!$F$12*'B1'!$F$5*$C$27</f>
        <v>0</v>
      </c>
    </row>
    <row r="45" spans="5:50" x14ac:dyDescent="0.35">
      <c r="E45" t="s">
        <v>235</v>
      </c>
      <c r="F45">
        <f>(('S-Series Performance Report'!G29/SQRT('S-Series Performance Report'!C14))*SQRT('S-Series Performance Report'!C15+'S-Series Performance Report'!G21))-F43</f>
        <v>8.1649671695604518</v>
      </c>
      <c r="Q45">
        <f>IF(AND($C$5=1,$C$14=1,$C$13=1,$C$20=1),1,0)</f>
        <v>0</v>
      </c>
      <c r="R45" t="s">
        <v>129</v>
      </c>
      <c r="S45" t="s">
        <v>53</v>
      </c>
      <c r="T45">
        <v>2000</v>
      </c>
      <c r="U45">
        <v>5</v>
      </c>
      <c r="V45">
        <v>0</v>
      </c>
      <c r="W45">
        <f>1/0.2</f>
        <v>5</v>
      </c>
      <c r="X45">
        <v>2.5000000000000001E-2</v>
      </c>
      <c r="Y45">
        <v>2.5000000000000001E-2</v>
      </c>
      <c r="Z45">
        <v>15</v>
      </c>
      <c r="AA45">
        <v>1.6670000000000001E-3</v>
      </c>
      <c r="AB45">
        <v>3000</v>
      </c>
      <c r="AC45">
        <v>8000</v>
      </c>
      <c r="AD45">
        <v>0.03</v>
      </c>
      <c r="AE45">
        <v>0.06</v>
      </c>
      <c r="AF45">
        <f t="shared" si="0"/>
        <v>0</v>
      </c>
      <c r="AG45">
        <v>1.4999999999999999E-2</v>
      </c>
      <c r="AH45">
        <f t="shared" si="1"/>
        <v>0</v>
      </c>
      <c r="AI45">
        <v>0</v>
      </c>
      <c r="AJ45">
        <f t="shared" si="2"/>
        <v>0</v>
      </c>
      <c r="AK45">
        <f t="shared" si="3"/>
        <v>0</v>
      </c>
      <c r="AL45">
        <f t="shared" si="4"/>
        <v>0</v>
      </c>
      <c r="AM45">
        <v>5.0000000000000001E-3</v>
      </c>
      <c r="AN45">
        <f t="shared" si="5"/>
        <v>0</v>
      </c>
      <c r="AO45">
        <v>0.1</v>
      </c>
      <c r="AP45">
        <f t="shared" si="6"/>
        <v>0</v>
      </c>
      <c r="AQ45">
        <v>0.1</v>
      </c>
      <c r="AR45">
        <f t="shared" si="7"/>
        <v>0</v>
      </c>
      <c r="AS45">
        <v>1</v>
      </c>
      <c r="AT45">
        <f t="shared" si="8"/>
        <v>0</v>
      </c>
      <c r="AU45">
        <v>0.01</v>
      </c>
      <c r="AV45">
        <f t="shared" si="9"/>
        <v>0.02</v>
      </c>
      <c r="AW45" s="37">
        <f>'S-Series Performance Report'!$C$36*0.01*'B1'!$F$12*'B1'!$F$5*$C$27</f>
        <v>0</v>
      </c>
      <c r="AX45">
        <f>'S-Series Performance Report'!$C$37*0.01*'B1'!$F$12*'B1'!$F$5*$C$27</f>
        <v>0</v>
      </c>
    </row>
    <row r="46" spans="5:50" x14ac:dyDescent="0.35">
      <c r="E46" t="s">
        <v>236</v>
      </c>
      <c r="F46">
        <f>(('S-Series Performance Report'!G29/SQRT('S-Series Performance Report'!C14))*SQRT('S-Series Performance Report'!C16+'S-Series Performance Report'!G22))-'S-Series Performance Report'!G31</f>
        <v>0.66228073113170893</v>
      </c>
      <c r="Q46">
        <f>IF(AND($C$5=1,$C$15=1,$C$13=1,$C$17=1),1,0)</f>
        <v>0</v>
      </c>
      <c r="R46" t="s">
        <v>130</v>
      </c>
      <c r="S46" t="s">
        <v>53</v>
      </c>
      <c r="T46">
        <v>7.2182399999999998</v>
      </c>
      <c r="U46">
        <v>1.8045599999999998E-2</v>
      </c>
      <c r="V46">
        <v>0.72182400000000002</v>
      </c>
      <c r="W46">
        <v>4</v>
      </c>
      <c r="X46">
        <v>2.5000000000000001E-2</v>
      </c>
      <c r="Y46">
        <v>2.5000000000000001E-2</v>
      </c>
      <c r="Z46">
        <v>4</v>
      </c>
      <c r="AA46">
        <v>6.2500000000000003E-3</v>
      </c>
      <c r="AB46">
        <v>3626</v>
      </c>
      <c r="AC46">
        <v>14500</v>
      </c>
      <c r="AD46">
        <v>0.04</v>
      </c>
      <c r="AE46">
        <v>0.05</v>
      </c>
      <c r="AF46">
        <f t="shared" si="0"/>
        <v>0</v>
      </c>
      <c r="AG46">
        <v>1.4999999999999999E-2</v>
      </c>
      <c r="AH46">
        <f t="shared" si="1"/>
        <v>0</v>
      </c>
      <c r="AI46">
        <v>0</v>
      </c>
      <c r="AJ46">
        <f t="shared" si="2"/>
        <v>0</v>
      </c>
      <c r="AK46">
        <f t="shared" si="3"/>
        <v>0</v>
      </c>
      <c r="AL46">
        <f t="shared" si="4"/>
        <v>0</v>
      </c>
      <c r="AM46">
        <v>5.0000000000000001E-3</v>
      </c>
      <c r="AN46">
        <f t="shared" si="5"/>
        <v>0</v>
      </c>
      <c r="AO46">
        <v>0.1</v>
      </c>
      <c r="AP46">
        <f t="shared" si="6"/>
        <v>0</v>
      </c>
      <c r="AQ46">
        <v>0.1</v>
      </c>
      <c r="AR46">
        <f t="shared" si="7"/>
        <v>0</v>
      </c>
      <c r="AS46">
        <v>1</v>
      </c>
      <c r="AT46">
        <f t="shared" si="8"/>
        <v>0</v>
      </c>
      <c r="AU46">
        <v>0.01</v>
      </c>
      <c r="AV46">
        <f t="shared" si="9"/>
        <v>0.02</v>
      </c>
      <c r="AW46" s="37">
        <f>'S-Series Performance Report'!$C$36*0.01*'B1'!$F$12*'B1'!$F$5*$C$27</f>
        <v>0</v>
      </c>
      <c r="AX46">
        <f>'S-Series Performance Report'!$C$37*0.01*'B1'!$F$12*'B1'!$F$5*$C$27</f>
        <v>0</v>
      </c>
    </row>
    <row r="47" spans="5:50" x14ac:dyDescent="0.35">
      <c r="E47" t="s">
        <v>244</v>
      </c>
      <c r="F47" s="36">
        <f>IF(OR('S-Series Performance Report'!H29="lb/min",'S-Series Performance Report'!H29="SCFM",'S-Series Performance Report'!H29="GPM")=TRUE,60*24,IF('S-Series Performance Report'!H29="SCFH",24,1000000))</f>
        <v>1440</v>
      </c>
      <c r="Q47">
        <f>IF(AND($C$5=1,$C$15=1,$C$13=1,$C$18=1),1,0)</f>
        <v>0</v>
      </c>
      <c r="R47" t="s">
        <v>131</v>
      </c>
      <c r="S47" t="s">
        <v>53</v>
      </c>
      <c r="T47">
        <v>36.091200000000001</v>
      </c>
      <c r="U47">
        <v>8.9867059999999999E-2</v>
      </c>
      <c r="V47">
        <v>0</v>
      </c>
      <c r="W47">
        <v>5</v>
      </c>
      <c r="X47">
        <v>2.5000000000000001E-2</v>
      </c>
      <c r="Y47">
        <v>2.5000000000000001E-2</v>
      </c>
      <c r="Z47">
        <v>10</v>
      </c>
      <c r="AA47">
        <v>2.5000000000000001E-3</v>
      </c>
      <c r="AB47">
        <v>3626</v>
      </c>
      <c r="AC47">
        <v>14500</v>
      </c>
      <c r="AD47">
        <v>0.04</v>
      </c>
      <c r="AE47">
        <v>0.05</v>
      </c>
      <c r="AF47">
        <f t="shared" si="0"/>
        <v>0</v>
      </c>
      <c r="AG47">
        <v>1.4999999999999999E-2</v>
      </c>
      <c r="AH47">
        <f t="shared" si="1"/>
        <v>0</v>
      </c>
      <c r="AI47">
        <v>0</v>
      </c>
      <c r="AJ47">
        <f t="shared" si="2"/>
        <v>0</v>
      </c>
      <c r="AK47">
        <f t="shared" si="3"/>
        <v>0</v>
      </c>
      <c r="AL47">
        <f t="shared" si="4"/>
        <v>0</v>
      </c>
      <c r="AM47">
        <v>5.0000000000000001E-3</v>
      </c>
      <c r="AN47">
        <f t="shared" si="5"/>
        <v>0</v>
      </c>
      <c r="AO47">
        <v>0.1</v>
      </c>
      <c r="AP47">
        <f t="shared" si="6"/>
        <v>0</v>
      </c>
      <c r="AQ47">
        <v>0.1</v>
      </c>
      <c r="AR47">
        <f t="shared" si="7"/>
        <v>0</v>
      </c>
      <c r="AS47">
        <v>1</v>
      </c>
      <c r="AT47">
        <f t="shared" si="8"/>
        <v>0</v>
      </c>
      <c r="AU47">
        <v>0.01</v>
      </c>
      <c r="AV47">
        <f t="shared" si="9"/>
        <v>0.02</v>
      </c>
      <c r="AW47" s="37">
        <f>'S-Series Performance Report'!$C$36*0.01*'B1'!$F$12*'B1'!$F$5*$C$27</f>
        <v>0</v>
      </c>
      <c r="AX47">
        <f>'S-Series Performance Report'!$C$37*0.01*'B1'!$F$12*'B1'!$F$5*$C$27</f>
        <v>0</v>
      </c>
    </row>
    <row r="48" spans="5:50" x14ac:dyDescent="0.35">
      <c r="E48" t="s">
        <v>261</v>
      </c>
      <c r="F48" s="36">
        <f>'S-Series Performance Report'!G32*'B1'!F47</f>
        <v>4325.3950118395687</v>
      </c>
      <c r="Q48">
        <f>IF(AND($C$5=1,$C$15=1,$C$13=1,$C$19=1),1,0)</f>
        <v>0</v>
      </c>
      <c r="R48" t="s">
        <v>132</v>
      </c>
      <c r="S48" t="s">
        <v>53</v>
      </c>
      <c r="T48">
        <v>300</v>
      </c>
      <c r="U48">
        <v>3.75</v>
      </c>
      <c r="V48">
        <v>0</v>
      </c>
      <c r="W48">
        <v>5</v>
      </c>
      <c r="X48">
        <v>2.5000000000000001E-2</v>
      </c>
      <c r="Y48">
        <v>2.5000000000000001E-2</v>
      </c>
      <c r="Z48">
        <v>15</v>
      </c>
      <c r="AA48">
        <v>1.6670000000000001E-3</v>
      </c>
      <c r="AB48">
        <v>3626</v>
      </c>
      <c r="AC48">
        <v>14500</v>
      </c>
      <c r="AD48">
        <v>0.04</v>
      </c>
      <c r="AE48">
        <v>0.05</v>
      </c>
      <c r="AF48">
        <f t="shared" ref="AF48:AF61" si="10">(AD48*T48+AE48*$F$12)*0.01*$F$5*$F$30</f>
        <v>0</v>
      </c>
      <c r="AG48">
        <v>1.4999999999999999E-2</v>
      </c>
      <c r="AH48">
        <f t="shared" ref="AH48:AH61" si="11">AG48*T48*0.01*$F$5*$F$31</f>
        <v>0</v>
      </c>
      <c r="AI48">
        <v>0</v>
      </c>
      <c r="AJ48">
        <f t="shared" ref="AJ48:AJ61" si="12">AI48*0.01*$F$6*$F$32*$F$5</f>
        <v>0</v>
      </c>
      <c r="AK48">
        <f t="shared" ref="AK48:AK61" si="13">AI48*0.01*$F$7*$F$32*$F$5</f>
        <v>0</v>
      </c>
      <c r="AL48">
        <f t="shared" ref="AL48:AL61" si="14">AI48*0.01*$F$8*$F$32*$F$5</f>
        <v>0</v>
      </c>
      <c r="AM48">
        <v>5.0000000000000001E-3</v>
      </c>
      <c r="AN48">
        <f t="shared" ref="AN48:AN61" si="15">AM48*0.01*$F$12*$F$33</f>
        <v>0</v>
      </c>
      <c r="AO48">
        <v>0.1</v>
      </c>
      <c r="AP48">
        <f t="shared" ref="AP48:AP61" si="16">AO48*T48*0.01*$F$5*$F$34</f>
        <v>0</v>
      </c>
      <c r="AQ48">
        <v>0.1</v>
      </c>
      <c r="AR48">
        <f t="shared" ref="AR48:AR61" si="17">AQ48*0.01*$F$12*$F$5*$F$35</f>
        <v>0</v>
      </c>
      <c r="AS48">
        <v>1</v>
      </c>
      <c r="AT48">
        <f t="shared" ref="AT48:AT61" si="18">AS48*0.01*$F$12*$F$5*$F$36</f>
        <v>0</v>
      </c>
      <c r="AU48">
        <v>0.01</v>
      </c>
      <c r="AV48">
        <f t="shared" si="9"/>
        <v>0.02</v>
      </c>
      <c r="AW48" s="37">
        <f>'S-Series Performance Report'!$C$36*0.01*'B1'!$F$12*'B1'!$F$5*$C$27</f>
        <v>0</v>
      </c>
      <c r="AX48">
        <f>'S-Series Performance Report'!$C$37*0.01*'B1'!$F$12*'B1'!$F$5*$C$27</f>
        <v>0</v>
      </c>
    </row>
    <row r="49" spans="5:50" x14ac:dyDescent="0.35">
      <c r="E49" t="s">
        <v>262</v>
      </c>
      <c r="F49" s="36">
        <f>'S-Series Performance Report'!G33*'B1'!F47</f>
        <v>12526.070655300009</v>
      </c>
      <c r="Q49">
        <f>IF(AND($C$5=1,$C$15=1,$C$13=1,$C$20=1),1,0)</f>
        <v>0</v>
      </c>
      <c r="R49" t="s">
        <v>133</v>
      </c>
      <c r="S49" t="s">
        <v>53</v>
      </c>
      <c r="T49">
        <v>3000</v>
      </c>
      <c r="U49">
        <v>37.5</v>
      </c>
      <c r="V49">
        <v>0</v>
      </c>
      <c r="W49">
        <v>5</v>
      </c>
      <c r="X49">
        <v>0.04</v>
      </c>
      <c r="Y49">
        <v>0.04</v>
      </c>
      <c r="Z49">
        <v>15</v>
      </c>
      <c r="AA49">
        <v>2.6670000000000001E-3</v>
      </c>
      <c r="AB49">
        <v>3626</v>
      </c>
      <c r="AC49">
        <v>14500</v>
      </c>
      <c r="AD49">
        <v>0.08</v>
      </c>
      <c r="AE49">
        <v>0.25</v>
      </c>
      <c r="AF49">
        <f t="shared" si="10"/>
        <v>0</v>
      </c>
      <c r="AG49">
        <v>1.4999999999999999E-2</v>
      </c>
      <c r="AH49">
        <f t="shared" si="11"/>
        <v>0</v>
      </c>
      <c r="AI49">
        <v>0</v>
      </c>
      <c r="AJ49">
        <f t="shared" si="12"/>
        <v>0</v>
      </c>
      <c r="AK49">
        <f t="shared" si="13"/>
        <v>0</v>
      </c>
      <c r="AL49">
        <f t="shared" si="14"/>
        <v>0</v>
      </c>
      <c r="AM49">
        <v>5.0000000000000001E-3</v>
      </c>
      <c r="AN49">
        <f t="shared" si="15"/>
        <v>0</v>
      </c>
      <c r="AO49">
        <v>0.1</v>
      </c>
      <c r="AP49">
        <f t="shared" si="16"/>
        <v>0</v>
      </c>
      <c r="AQ49">
        <v>0.1</v>
      </c>
      <c r="AR49">
        <f t="shared" si="17"/>
        <v>0</v>
      </c>
      <c r="AS49">
        <v>1</v>
      </c>
      <c r="AT49">
        <f t="shared" si="18"/>
        <v>0</v>
      </c>
      <c r="AU49">
        <v>0.01</v>
      </c>
      <c r="AV49">
        <f t="shared" si="9"/>
        <v>0.02</v>
      </c>
      <c r="AW49" s="37">
        <f>'S-Series Performance Report'!$C$36*0.01*'B1'!$F$12*'B1'!$F$5*$C$27</f>
        <v>0</v>
      </c>
      <c r="AX49">
        <f>'S-Series Performance Report'!$C$37*0.01*'B1'!$F$12*'B1'!$F$5*$C$27</f>
        <v>0</v>
      </c>
    </row>
    <row r="50" spans="5:50" x14ac:dyDescent="0.35">
      <c r="E50" t="s">
        <v>245</v>
      </c>
      <c r="F50" s="36">
        <f>'S-Series Performance Report'!G34*'B1'!F47</f>
        <v>4424.0155576235566</v>
      </c>
      <c r="Q50">
        <f>IF(AND($C$6=1,$C$14=1,$C$13=1,$C$19=1),1,0)</f>
        <v>0</v>
      </c>
      <c r="R50" t="s">
        <v>134</v>
      </c>
      <c r="S50" t="s">
        <v>54</v>
      </c>
      <c r="T50">
        <v>200</v>
      </c>
      <c r="U50">
        <v>0.5</v>
      </c>
      <c r="V50">
        <v>0</v>
      </c>
      <c r="W50">
        <f>1/0.2</f>
        <v>5</v>
      </c>
      <c r="X50">
        <v>2.5000000000000001E-2</v>
      </c>
      <c r="Y50">
        <v>2.5000000000000001E-2</v>
      </c>
      <c r="Z50">
        <v>15</v>
      </c>
      <c r="AA50">
        <v>1.6670000000000001E-3</v>
      </c>
      <c r="AB50">
        <v>300</v>
      </c>
      <c r="AC50">
        <v>800</v>
      </c>
      <c r="AD50">
        <v>0.03</v>
      </c>
      <c r="AE50">
        <v>0.06</v>
      </c>
      <c r="AF50">
        <f t="shared" si="10"/>
        <v>0</v>
      </c>
      <c r="AG50">
        <v>1.4999999999999999E-2</v>
      </c>
      <c r="AH50">
        <f t="shared" si="11"/>
        <v>0</v>
      </c>
      <c r="AI50">
        <v>0</v>
      </c>
      <c r="AJ50">
        <f t="shared" si="12"/>
        <v>0</v>
      </c>
      <c r="AK50">
        <f t="shared" si="13"/>
        <v>0</v>
      </c>
      <c r="AL50">
        <f t="shared" si="14"/>
        <v>0</v>
      </c>
      <c r="AM50">
        <v>5.0000000000000001E-3</v>
      </c>
      <c r="AN50">
        <f t="shared" si="15"/>
        <v>0</v>
      </c>
      <c r="AO50">
        <v>0.1</v>
      </c>
      <c r="AP50">
        <f t="shared" si="16"/>
        <v>0</v>
      </c>
      <c r="AQ50">
        <v>0.1</v>
      </c>
      <c r="AR50">
        <f t="shared" si="17"/>
        <v>0</v>
      </c>
      <c r="AS50">
        <v>1</v>
      </c>
      <c r="AT50">
        <f t="shared" si="18"/>
        <v>0</v>
      </c>
      <c r="AU50">
        <v>0.01</v>
      </c>
      <c r="AV50">
        <f t="shared" si="9"/>
        <v>0.02</v>
      </c>
      <c r="AW50" s="37">
        <f>'S-Series Performance Report'!$C$36*0.01*'B1'!$F$12*'B1'!$F$5*$C$27</f>
        <v>0</v>
      </c>
      <c r="AX50">
        <f>'S-Series Performance Report'!$C$37*0.01*'B1'!$F$12*'B1'!$F$5*$C$27</f>
        <v>0</v>
      </c>
    </row>
    <row r="51" spans="5:50" x14ac:dyDescent="0.35">
      <c r="E51" t="s">
        <v>243</v>
      </c>
      <c r="F51" s="36">
        <f>5 - INT(LOG10(F48)) - 1</f>
        <v>1</v>
      </c>
      <c r="Q51">
        <f>IF(AND($C$6=1,$C$14=1,$C$13=1,$C$20=1),1,0)</f>
        <v>0</v>
      </c>
      <c r="R51" t="s">
        <v>135</v>
      </c>
      <c r="S51" t="s">
        <v>54</v>
      </c>
      <c r="T51">
        <v>2000</v>
      </c>
      <c r="U51">
        <v>5</v>
      </c>
      <c r="V51">
        <v>0</v>
      </c>
      <c r="W51">
        <f>1/0.2</f>
        <v>5</v>
      </c>
      <c r="X51">
        <v>2.5000000000000001E-2</v>
      </c>
      <c r="Y51">
        <v>2.5000000000000001E-2</v>
      </c>
      <c r="Z51">
        <v>15</v>
      </c>
      <c r="AA51">
        <v>1.6670000000000001E-3</v>
      </c>
      <c r="AB51">
        <v>3000</v>
      </c>
      <c r="AC51">
        <v>8000</v>
      </c>
      <c r="AD51">
        <v>0.03</v>
      </c>
      <c r="AE51">
        <v>0.06</v>
      </c>
      <c r="AF51">
        <f t="shared" si="10"/>
        <v>0</v>
      </c>
      <c r="AG51">
        <v>1.4999999999999999E-2</v>
      </c>
      <c r="AH51">
        <f t="shared" si="11"/>
        <v>0</v>
      </c>
      <c r="AI51">
        <v>0</v>
      </c>
      <c r="AJ51">
        <f t="shared" si="12"/>
        <v>0</v>
      </c>
      <c r="AK51">
        <f t="shared" si="13"/>
        <v>0</v>
      </c>
      <c r="AL51">
        <f t="shared" si="14"/>
        <v>0</v>
      </c>
      <c r="AM51">
        <v>5.0000000000000001E-3</v>
      </c>
      <c r="AN51">
        <f t="shared" si="15"/>
        <v>0</v>
      </c>
      <c r="AO51">
        <v>0.1</v>
      </c>
      <c r="AP51">
        <f t="shared" si="16"/>
        <v>0</v>
      </c>
      <c r="AQ51">
        <v>0.1</v>
      </c>
      <c r="AR51">
        <f t="shared" si="17"/>
        <v>0</v>
      </c>
      <c r="AS51">
        <v>1</v>
      </c>
      <c r="AT51">
        <f t="shared" si="18"/>
        <v>0</v>
      </c>
      <c r="AU51">
        <v>0.01</v>
      </c>
      <c r="AV51">
        <f t="shared" si="9"/>
        <v>0.02</v>
      </c>
      <c r="AW51" s="37">
        <f>'S-Series Performance Report'!$C$36*0.01*'B1'!$F$12*'B1'!$F$5*$C$27</f>
        <v>0</v>
      </c>
      <c r="AX51">
        <f>'S-Series Performance Report'!$C$37*0.01*'B1'!$F$12*'B1'!$F$5*$C$27</f>
        <v>0</v>
      </c>
    </row>
    <row r="52" spans="5:50" x14ac:dyDescent="0.35">
      <c r="Q52">
        <f>IF(AND($C$6=1,$C$14=1,$C$13=1,$C$21=1),1,0)</f>
        <v>0</v>
      </c>
      <c r="R52" t="s">
        <v>136</v>
      </c>
      <c r="S52" t="s">
        <v>54</v>
      </c>
      <c r="T52">
        <v>6000</v>
      </c>
      <c r="U52">
        <v>75</v>
      </c>
      <c r="V52">
        <v>0</v>
      </c>
      <c r="W52">
        <v>5</v>
      </c>
      <c r="X52">
        <v>0.04</v>
      </c>
      <c r="Y52">
        <v>0.04</v>
      </c>
      <c r="Z52">
        <v>5</v>
      </c>
      <c r="AA52">
        <v>8.0000000000000002E-3</v>
      </c>
      <c r="AB52">
        <v>8580</v>
      </c>
      <c r="AC52">
        <v>24000</v>
      </c>
      <c r="AD52">
        <v>0.03</v>
      </c>
      <c r="AE52">
        <v>0.06</v>
      </c>
      <c r="AF52">
        <f t="shared" si="10"/>
        <v>0</v>
      </c>
      <c r="AG52">
        <v>1.4999999999999999E-2</v>
      </c>
      <c r="AH52">
        <f t="shared" si="11"/>
        <v>0</v>
      </c>
      <c r="AI52">
        <v>0</v>
      </c>
      <c r="AJ52">
        <f t="shared" si="12"/>
        <v>0</v>
      </c>
      <c r="AK52">
        <f t="shared" si="13"/>
        <v>0</v>
      </c>
      <c r="AL52">
        <f t="shared" si="14"/>
        <v>0</v>
      </c>
      <c r="AM52">
        <v>5.0000000000000001E-3</v>
      </c>
      <c r="AN52">
        <f t="shared" si="15"/>
        <v>0</v>
      </c>
      <c r="AO52">
        <v>0.1</v>
      </c>
      <c r="AP52">
        <f t="shared" si="16"/>
        <v>0</v>
      </c>
      <c r="AQ52">
        <v>0.1</v>
      </c>
      <c r="AR52">
        <f t="shared" si="17"/>
        <v>0</v>
      </c>
      <c r="AS52">
        <v>1</v>
      </c>
      <c r="AT52">
        <f t="shared" si="18"/>
        <v>0</v>
      </c>
      <c r="AU52">
        <v>0.01</v>
      </c>
      <c r="AV52">
        <f t="shared" si="9"/>
        <v>0.02</v>
      </c>
      <c r="AW52" s="37">
        <f>'S-Series Performance Report'!$C$36*0.01*'B1'!$F$12*'B1'!$F$5*$C$27</f>
        <v>0</v>
      </c>
      <c r="AX52">
        <f>'S-Series Performance Report'!$C$37*0.01*'B1'!$F$12*'B1'!$F$5*$C$27</f>
        <v>0</v>
      </c>
    </row>
    <row r="53" spans="5:50" x14ac:dyDescent="0.35">
      <c r="Q53">
        <f>IF(AND($C$6=1,$C$15=1,$C$13=1,$C$17=1),1,0)</f>
        <v>0</v>
      </c>
      <c r="R53" t="s">
        <v>137</v>
      </c>
      <c r="S53" t="s">
        <v>54</v>
      </c>
      <c r="T53">
        <v>7.2182399999999998</v>
      </c>
      <c r="U53">
        <v>1.8045599999999998E-2</v>
      </c>
      <c r="V53">
        <f>-T53</f>
        <v>-7.2182399999999998</v>
      </c>
      <c r="W53">
        <v>5</v>
      </c>
      <c r="X53">
        <v>2.5000000000000001E-2</v>
      </c>
      <c r="Y53">
        <v>2.5000000000000001E-2</v>
      </c>
      <c r="Z53">
        <v>5</v>
      </c>
      <c r="AA53">
        <v>5.0000000000000001E-3</v>
      </c>
      <c r="AB53">
        <v>3626</v>
      </c>
      <c r="AC53">
        <v>14500</v>
      </c>
      <c r="AD53">
        <v>0.04</v>
      </c>
      <c r="AE53">
        <v>0.05</v>
      </c>
      <c r="AF53">
        <f t="shared" si="10"/>
        <v>0</v>
      </c>
      <c r="AG53">
        <v>1.4999999999999999E-2</v>
      </c>
      <c r="AH53">
        <f t="shared" si="11"/>
        <v>0</v>
      </c>
      <c r="AI53">
        <v>0</v>
      </c>
      <c r="AJ53">
        <f t="shared" si="12"/>
        <v>0</v>
      </c>
      <c r="AK53">
        <f t="shared" si="13"/>
        <v>0</v>
      </c>
      <c r="AL53">
        <f t="shared" si="14"/>
        <v>0</v>
      </c>
      <c r="AM53">
        <v>5.0000000000000001E-3</v>
      </c>
      <c r="AN53">
        <f t="shared" si="15"/>
        <v>0</v>
      </c>
      <c r="AO53">
        <v>0.1</v>
      </c>
      <c r="AP53">
        <f t="shared" si="16"/>
        <v>0</v>
      </c>
      <c r="AQ53">
        <v>0.1</v>
      </c>
      <c r="AR53">
        <f t="shared" si="17"/>
        <v>0</v>
      </c>
      <c r="AS53">
        <v>1</v>
      </c>
      <c r="AT53">
        <f t="shared" si="18"/>
        <v>0</v>
      </c>
      <c r="AU53">
        <v>0.01</v>
      </c>
      <c r="AV53">
        <f t="shared" si="9"/>
        <v>0.02</v>
      </c>
      <c r="AW53" s="37">
        <f>'S-Series Performance Report'!$C$36*0.01*'B1'!$F$12*'B1'!$F$5*$C$27</f>
        <v>0</v>
      </c>
      <c r="AX53">
        <f>'S-Series Performance Report'!$C$37*0.01*'B1'!$F$12*'B1'!$F$5*$C$27</f>
        <v>0</v>
      </c>
    </row>
    <row r="54" spans="5:50" x14ac:dyDescent="0.35">
      <c r="Q54">
        <f>IF(AND($C$6=1,$C$15=1,$C$13=1,$C$18=1),1,0)</f>
        <v>0</v>
      </c>
      <c r="R54" t="s">
        <v>138</v>
      </c>
      <c r="S54" t="s">
        <v>54</v>
      </c>
      <c r="T54">
        <v>36.091200000000001</v>
      </c>
      <c r="U54">
        <v>8.9867059999999999E-2</v>
      </c>
      <c r="V54">
        <v>-14.7</v>
      </c>
      <c r="W54">
        <v>5</v>
      </c>
      <c r="X54">
        <v>2.5000000000000001E-2</v>
      </c>
      <c r="Y54">
        <v>2.5000000000000001E-2</v>
      </c>
      <c r="Z54">
        <v>10</v>
      </c>
      <c r="AA54">
        <v>2.5000000000000001E-3</v>
      </c>
      <c r="AB54">
        <v>3626</v>
      </c>
      <c r="AC54">
        <v>14500</v>
      </c>
      <c r="AD54">
        <v>0.04</v>
      </c>
      <c r="AE54">
        <v>0.05</v>
      </c>
      <c r="AF54">
        <f t="shared" si="10"/>
        <v>0</v>
      </c>
      <c r="AG54">
        <v>1.4999999999999999E-2</v>
      </c>
      <c r="AH54">
        <f t="shared" si="11"/>
        <v>0</v>
      </c>
      <c r="AI54">
        <v>0</v>
      </c>
      <c r="AJ54">
        <f t="shared" si="12"/>
        <v>0</v>
      </c>
      <c r="AK54">
        <f t="shared" si="13"/>
        <v>0</v>
      </c>
      <c r="AL54">
        <f t="shared" si="14"/>
        <v>0</v>
      </c>
      <c r="AM54">
        <v>5.0000000000000001E-3</v>
      </c>
      <c r="AN54">
        <f t="shared" si="15"/>
        <v>0</v>
      </c>
      <c r="AO54">
        <v>0.1</v>
      </c>
      <c r="AP54">
        <f t="shared" si="16"/>
        <v>0</v>
      </c>
      <c r="AQ54">
        <v>0.1</v>
      </c>
      <c r="AR54">
        <f t="shared" si="17"/>
        <v>0</v>
      </c>
      <c r="AS54">
        <v>1</v>
      </c>
      <c r="AT54">
        <f t="shared" si="18"/>
        <v>0</v>
      </c>
      <c r="AU54">
        <v>0.01</v>
      </c>
      <c r="AV54">
        <f t="shared" si="9"/>
        <v>0.02</v>
      </c>
      <c r="AW54" s="37">
        <f>'S-Series Performance Report'!$C$36*0.01*'B1'!$F$12*'B1'!$F$5*$C$27</f>
        <v>0</v>
      </c>
      <c r="AX54">
        <f>'S-Series Performance Report'!$C$37*0.01*'B1'!$F$12*'B1'!$F$5*$C$27</f>
        <v>0</v>
      </c>
    </row>
    <row r="55" spans="5:50" x14ac:dyDescent="0.35">
      <c r="Q55">
        <f>IF(AND($C$6=1,$C$15=1,$C$13=1,$C$19=1),1,0)</f>
        <v>0</v>
      </c>
      <c r="R55" t="s">
        <v>139</v>
      </c>
      <c r="S55" t="s">
        <v>54</v>
      </c>
      <c r="T55">
        <v>300</v>
      </c>
      <c r="U55">
        <v>3.75</v>
      </c>
      <c r="V55">
        <v>-14.7</v>
      </c>
      <c r="W55">
        <v>5</v>
      </c>
      <c r="X55">
        <v>2.5000000000000001E-2</v>
      </c>
      <c r="Y55">
        <v>2.5000000000000001E-2</v>
      </c>
      <c r="Z55">
        <v>15</v>
      </c>
      <c r="AA55">
        <v>1.6670000000000001E-3</v>
      </c>
      <c r="AB55">
        <v>3626</v>
      </c>
      <c r="AC55">
        <v>14500</v>
      </c>
      <c r="AD55">
        <v>0.04</v>
      </c>
      <c r="AE55">
        <v>0.05</v>
      </c>
      <c r="AF55">
        <f t="shared" si="10"/>
        <v>0</v>
      </c>
      <c r="AG55">
        <v>1.4999999999999999E-2</v>
      </c>
      <c r="AH55">
        <f t="shared" si="11"/>
        <v>0</v>
      </c>
      <c r="AI55">
        <v>0</v>
      </c>
      <c r="AJ55">
        <f t="shared" si="12"/>
        <v>0</v>
      </c>
      <c r="AK55">
        <f t="shared" si="13"/>
        <v>0</v>
      </c>
      <c r="AL55">
        <f t="shared" si="14"/>
        <v>0</v>
      </c>
      <c r="AM55">
        <v>5.0000000000000001E-3</v>
      </c>
      <c r="AN55">
        <f t="shared" si="15"/>
        <v>0</v>
      </c>
      <c r="AO55">
        <v>0.1</v>
      </c>
      <c r="AP55">
        <f t="shared" si="16"/>
        <v>0</v>
      </c>
      <c r="AQ55">
        <v>0.1</v>
      </c>
      <c r="AR55">
        <f t="shared" si="17"/>
        <v>0</v>
      </c>
      <c r="AS55">
        <v>1</v>
      </c>
      <c r="AT55">
        <f t="shared" si="18"/>
        <v>0</v>
      </c>
      <c r="AU55">
        <v>0.01</v>
      </c>
      <c r="AV55">
        <f t="shared" si="9"/>
        <v>0.02</v>
      </c>
      <c r="AW55" s="37">
        <f>'S-Series Performance Report'!$C$36*0.01*'B1'!$F$12*'B1'!$F$5*$C$27</f>
        <v>0</v>
      </c>
      <c r="AX55">
        <f>'S-Series Performance Report'!$C$37*0.01*'B1'!$F$12*'B1'!$F$5*$C$27</f>
        <v>0</v>
      </c>
    </row>
    <row r="56" spans="5:50" x14ac:dyDescent="0.35">
      <c r="Q56">
        <f>IF(AND($C$6=1,$C$15=1,$C$13=1,$C$20=1),1,0)</f>
        <v>0</v>
      </c>
      <c r="R56" t="s">
        <v>140</v>
      </c>
      <c r="S56" t="s">
        <v>54</v>
      </c>
      <c r="T56">
        <v>3000</v>
      </c>
      <c r="U56">
        <v>37.5</v>
      </c>
      <c r="V56">
        <v>-14.7</v>
      </c>
      <c r="W56">
        <v>3</v>
      </c>
      <c r="X56">
        <v>0.04</v>
      </c>
      <c r="Y56">
        <v>0.04</v>
      </c>
      <c r="Z56">
        <v>3</v>
      </c>
      <c r="AA56">
        <v>1.3299999999999999E-2</v>
      </c>
      <c r="AB56">
        <v>3626</v>
      </c>
      <c r="AC56">
        <v>14500</v>
      </c>
      <c r="AD56">
        <v>0.08</v>
      </c>
      <c r="AE56">
        <v>0.25</v>
      </c>
      <c r="AF56">
        <f t="shared" si="10"/>
        <v>0</v>
      </c>
      <c r="AG56">
        <v>1.4999999999999999E-2</v>
      </c>
      <c r="AH56">
        <f t="shared" si="11"/>
        <v>0</v>
      </c>
      <c r="AI56">
        <v>0</v>
      </c>
      <c r="AJ56">
        <f t="shared" si="12"/>
        <v>0</v>
      </c>
      <c r="AK56">
        <f t="shared" si="13"/>
        <v>0</v>
      </c>
      <c r="AL56">
        <f t="shared" si="14"/>
        <v>0</v>
      </c>
      <c r="AM56">
        <v>5.0000000000000001E-3</v>
      </c>
      <c r="AN56">
        <f t="shared" si="15"/>
        <v>0</v>
      </c>
      <c r="AO56">
        <v>0.1</v>
      </c>
      <c r="AP56">
        <f t="shared" si="16"/>
        <v>0</v>
      </c>
      <c r="AQ56">
        <v>0.1</v>
      </c>
      <c r="AR56">
        <f t="shared" si="17"/>
        <v>0</v>
      </c>
      <c r="AS56">
        <v>1</v>
      </c>
      <c r="AT56">
        <f t="shared" si="18"/>
        <v>0</v>
      </c>
      <c r="AU56">
        <v>0.01</v>
      </c>
      <c r="AV56">
        <f t="shared" si="9"/>
        <v>0.02</v>
      </c>
      <c r="AW56" s="37">
        <f>'S-Series Performance Report'!$C$36*0.01*'B1'!$F$12*'B1'!$F$5*$C$27</f>
        <v>0</v>
      </c>
      <c r="AX56">
        <f>'S-Series Performance Report'!$C$37*0.01*'B1'!$F$12*'B1'!$F$5*$C$27</f>
        <v>0</v>
      </c>
    </row>
    <row r="57" spans="5:50" x14ac:dyDescent="0.35">
      <c r="Q57">
        <f>IF(AND($C$6=1,$C$15=1,$C$13=1,$C$21=1),1,0)</f>
        <v>0</v>
      </c>
      <c r="R57" t="s">
        <v>141</v>
      </c>
      <c r="S57" t="s">
        <v>54</v>
      </c>
      <c r="T57">
        <v>5000</v>
      </c>
      <c r="U57">
        <v>165</v>
      </c>
      <c r="V57">
        <v>-14.7</v>
      </c>
      <c r="W57">
        <v>3</v>
      </c>
      <c r="X57">
        <v>0.04</v>
      </c>
      <c r="Y57">
        <v>0.04</v>
      </c>
      <c r="Z57">
        <v>4</v>
      </c>
      <c r="AA57">
        <v>0.01</v>
      </c>
      <c r="AB57">
        <v>5800</v>
      </c>
      <c r="AC57">
        <v>14500</v>
      </c>
      <c r="AD57">
        <v>0.08</v>
      </c>
      <c r="AE57">
        <v>0.25</v>
      </c>
      <c r="AF57">
        <f t="shared" si="10"/>
        <v>0</v>
      </c>
      <c r="AG57">
        <v>1.4999999999999999E-2</v>
      </c>
      <c r="AH57">
        <f t="shared" si="11"/>
        <v>0</v>
      </c>
      <c r="AI57">
        <v>0</v>
      </c>
      <c r="AJ57">
        <f t="shared" si="12"/>
        <v>0</v>
      </c>
      <c r="AK57">
        <f t="shared" si="13"/>
        <v>0</v>
      </c>
      <c r="AL57">
        <f t="shared" si="14"/>
        <v>0</v>
      </c>
      <c r="AM57">
        <v>5.0000000000000001E-3</v>
      </c>
      <c r="AN57">
        <f t="shared" si="15"/>
        <v>0</v>
      </c>
      <c r="AO57">
        <v>0.1</v>
      </c>
      <c r="AP57">
        <f t="shared" si="16"/>
        <v>0</v>
      </c>
      <c r="AQ57">
        <v>0.1</v>
      </c>
      <c r="AR57">
        <f t="shared" si="17"/>
        <v>0</v>
      </c>
      <c r="AS57">
        <v>1</v>
      </c>
      <c r="AT57">
        <f t="shared" si="18"/>
        <v>0</v>
      </c>
      <c r="AU57">
        <v>0.01</v>
      </c>
      <c r="AV57">
        <f t="shared" si="9"/>
        <v>0.02</v>
      </c>
      <c r="AW57" s="37">
        <f>'S-Series Performance Report'!$C$36*0.01*'B1'!$F$12*'B1'!$F$5*$C$27</f>
        <v>0</v>
      </c>
      <c r="AX57">
        <f>'S-Series Performance Report'!$C$37*0.01*'B1'!$F$12*'B1'!$F$5*$C$27</f>
        <v>0</v>
      </c>
    </row>
    <row r="58" spans="5:50" x14ac:dyDescent="0.35">
      <c r="Q58">
        <f>IF(AND($C$7=1,$C$15=1,$C$13=1,$C$17=1),1,0)</f>
        <v>0</v>
      </c>
      <c r="R58" t="s">
        <v>142</v>
      </c>
      <c r="S58" t="s">
        <v>55</v>
      </c>
      <c r="T58">
        <v>7.2182399999999998</v>
      </c>
      <c r="U58">
        <v>1.8045599999999998E-2</v>
      </c>
      <c r="V58">
        <f>-T58</f>
        <v>-7.2182399999999998</v>
      </c>
      <c r="W58">
        <f>1/0.125</f>
        <v>8</v>
      </c>
      <c r="X58">
        <v>2.5000000000000001E-2</v>
      </c>
      <c r="Y58">
        <v>2.5000000000000001E-2</v>
      </c>
      <c r="Z58">
        <v>8</v>
      </c>
      <c r="AA58">
        <v>3.1250000000000002E-3</v>
      </c>
      <c r="AB58">
        <v>3626</v>
      </c>
      <c r="AC58">
        <v>14500</v>
      </c>
      <c r="AD58">
        <v>0.04</v>
      </c>
      <c r="AE58">
        <v>0.05</v>
      </c>
      <c r="AF58">
        <f t="shared" si="10"/>
        <v>0</v>
      </c>
      <c r="AG58">
        <v>1.4999999999999999E-2</v>
      </c>
      <c r="AH58">
        <f t="shared" si="11"/>
        <v>0</v>
      </c>
      <c r="AI58">
        <v>0.15</v>
      </c>
      <c r="AJ58">
        <f t="shared" si="12"/>
        <v>0</v>
      </c>
      <c r="AK58">
        <f t="shared" si="13"/>
        <v>0</v>
      </c>
      <c r="AL58">
        <f t="shared" si="14"/>
        <v>0</v>
      </c>
      <c r="AM58">
        <v>5.0000000000000001E-3</v>
      </c>
      <c r="AN58">
        <f t="shared" si="15"/>
        <v>0</v>
      </c>
      <c r="AO58">
        <v>0.1</v>
      </c>
      <c r="AP58">
        <f t="shared" si="16"/>
        <v>0</v>
      </c>
      <c r="AQ58">
        <v>0.1</v>
      </c>
      <c r="AR58">
        <f t="shared" si="17"/>
        <v>0</v>
      </c>
      <c r="AS58">
        <v>1</v>
      </c>
      <c r="AT58">
        <f t="shared" si="18"/>
        <v>0</v>
      </c>
      <c r="AU58">
        <v>0.01</v>
      </c>
      <c r="AV58">
        <f t="shared" si="9"/>
        <v>0.02</v>
      </c>
      <c r="AW58" s="37">
        <f>'S-Series Performance Report'!$C$36*0.01*'B1'!$F$12*'B1'!$F$5*$C$27</f>
        <v>0</v>
      </c>
      <c r="AX58">
        <f>'S-Series Performance Report'!$C$37*0.01*'B1'!$F$12*'B1'!$F$5*$C$27</f>
        <v>0</v>
      </c>
    </row>
    <row r="59" spans="5:50" x14ac:dyDescent="0.35">
      <c r="Q59">
        <f>IF(AND($C$7=1,$C$15=1,$C$13=1,$C$18=1),1,0)</f>
        <v>0</v>
      </c>
      <c r="R59" t="s">
        <v>143</v>
      </c>
      <c r="S59" t="s">
        <v>55</v>
      </c>
      <c r="T59">
        <v>36.091200000000001</v>
      </c>
      <c r="U59">
        <v>8.9867059999999999E-2</v>
      </c>
      <c r="V59">
        <f>-T59</f>
        <v>-36.091200000000001</v>
      </c>
      <c r="W59">
        <v>5</v>
      </c>
      <c r="X59">
        <v>2.5000000000000001E-2</v>
      </c>
      <c r="Y59">
        <v>2.5000000000000001E-2</v>
      </c>
      <c r="Z59">
        <v>10</v>
      </c>
      <c r="AA59">
        <v>2.5000000000000001E-3</v>
      </c>
      <c r="AB59">
        <v>3626</v>
      </c>
      <c r="AC59">
        <v>14500</v>
      </c>
      <c r="AD59">
        <v>0.04</v>
      </c>
      <c r="AE59">
        <v>0.05</v>
      </c>
      <c r="AF59">
        <f t="shared" si="10"/>
        <v>0</v>
      </c>
      <c r="AG59">
        <v>1.4999999999999999E-2</v>
      </c>
      <c r="AH59">
        <f t="shared" si="11"/>
        <v>0</v>
      </c>
      <c r="AI59">
        <v>0.15</v>
      </c>
      <c r="AJ59">
        <f t="shared" si="12"/>
        <v>0</v>
      </c>
      <c r="AK59">
        <f t="shared" si="13"/>
        <v>0</v>
      </c>
      <c r="AL59">
        <f t="shared" si="14"/>
        <v>0</v>
      </c>
      <c r="AM59">
        <v>5.0000000000000001E-3</v>
      </c>
      <c r="AN59">
        <f t="shared" si="15"/>
        <v>0</v>
      </c>
      <c r="AO59">
        <v>0.1</v>
      </c>
      <c r="AP59">
        <f t="shared" si="16"/>
        <v>0</v>
      </c>
      <c r="AQ59">
        <v>0.1</v>
      </c>
      <c r="AR59">
        <f t="shared" si="17"/>
        <v>0</v>
      </c>
      <c r="AS59">
        <v>1</v>
      </c>
      <c r="AT59">
        <f t="shared" si="18"/>
        <v>0</v>
      </c>
      <c r="AU59">
        <v>0.01</v>
      </c>
      <c r="AV59">
        <f t="shared" si="9"/>
        <v>0.02</v>
      </c>
      <c r="AW59" s="37">
        <f>'S-Series Performance Report'!$C$36*0.01*'B1'!$F$12*'B1'!$F$5*$C$27</f>
        <v>0</v>
      </c>
      <c r="AX59">
        <f>'S-Series Performance Report'!$C$37*0.01*'B1'!$F$12*'B1'!$F$5*$C$27</f>
        <v>0</v>
      </c>
    </row>
    <row r="60" spans="5:50" x14ac:dyDescent="0.35">
      <c r="Q60">
        <f>IF(AND($C$7=1,$C$15=1,$C$13=1,$C$19=1),1,0)</f>
        <v>0</v>
      </c>
      <c r="R60" t="s">
        <v>144</v>
      </c>
      <c r="S60" t="s">
        <v>55</v>
      </c>
      <c r="T60">
        <v>300</v>
      </c>
      <c r="U60">
        <v>3.75</v>
      </c>
      <c r="V60">
        <v>-14.7</v>
      </c>
      <c r="W60">
        <v>5</v>
      </c>
      <c r="X60">
        <v>2.5000000000000001E-2</v>
      </c>
      <c r="Y60">
        <v>2.5000000000000001E-2</v>
      </c>
      <c r="Z60">
        <v>15</v>
      </c>
      <c r="AA60">
        <v>1.6670000000000001E-3</v>
      </c>
      <c r="AB60">
        <v>3626</v>
      </c>
      <c r="AC60">
        <v>14500</v>
      </c>
      <c r="AD60">
        <v>0.04</v>
      </c>
      <c r="AE60">
        <v>0.05</v>
      </c>
      <c r="AF60">
        <f t="shared" si="10"/>
        <v>0</v>
      </c>
      <c r="AG60">
        <v>1.4999999999999999E-2</v>
      </c>
      <c r="AH60">
        <f t="shared" si="11"/>
        <v>0</v>
      </c>
      <c r="AI60">
        <v>0.15</v>
      </c>
      <c r="AJ60">
        <f t="shared" si="12"/>
        <v>0</v>
      </c>
      <c r="AK60">
        <f t="shared" si="13"/>
        <v>0</v>
      </c>
      <c r="AL60">
        <f t="shared" si="14"/>
        <v>0</v>
      </c>
      <c r="AM60">
        <v>5.0000000000000001E-3</v>
      </c>
      <c r="AN60">
        <f t="shared" si="15"/>
        <v>0</v>
      </c>
      <c r="AO60">
        <v>0.1</v>
      </c>
      <c r="AP60">
        <f t="shared" si="16"/>
        <v>0</v>
      </c>
      <c r="AQ60">
        <v>0.1</v>
      </c>
      <c r="AR60">
        <f t="shared" si="17"/>
        <v>0</v>
      </c>
      <c r="AS60">
        <v>1</v>
      </c>
      <c r="AT60">
        <f t="shared" si="18"/>
        <v>0</v>
      </c>
      <c r="AU60">
        <v>0.01</v>
      </c>
      <c r="AV60">
        <f t="shared" si="9"/>
        <v>0.02</v>
      </c>
      <c r="AW60" s="37">
        <f>'S-Series Performance Report'!$C$36*0.01*'B1'!$F$12*'B1'!$F$5*$C$27</f>
        <v>0</v>
      </c>
      <c r="AX60">
        <f>'S-Series Performance Report'!$C$37*0.01*'B1'!$F$12*'B1'!$F$5*$C$27</f>
        <v>0</v>
      </c>
    </row>
    <row r="61" spans="5:50" x14ac:dyDescent="0.35">
      <c r="Q61">
        <f>IF(AND($C$7=1,$C$15=1,$C$13=1,$C$20=1),1,0)</f>
        <v>0</v>
      </c>
      <c r="R61" t="s">
        <v>145</v>
      </c>
      <c r="S61" t="s">
        <v>55</v>
      </c>
      <c r="T61">
        <v>3000</v>
      </c>
      <c r="U61">
        <v>37.5</v>
      </c>
      <c r="V61">
        <v>0</v>
      </c>
      <c r="W61">
        <v>5</v>
      </c>
      <c r="X61">
        <v>0.04</v>
      </c>
      <c r="Y61">
        <v>0.04</v>
      </c>
      <c r="Z61">
        <v>15</v>
      </c>
      <c r="AA61">
        <v>2.6670000000000001E-3</v>
      </c>
      <c r="AB61">
        <v>3626</v>
      </c>
      <c r="AC61">
        <v>14500</v>
      </c>
      <c r="AD61">
        <v>0.04</v>
      </c>
      <c r="AE61">
        <v>0.05</v>
      </c>
      <c r="AF61">
        <f t="shared" si="10"/>
        <v>0</v>
      </c>
      <c r="AG61">
        <v>1.4999999999999999E-2</v>
      </c>
      <c r="AH61">
        <f t="shared" si="11"/>
        <v>0</v>
      </c>
      <c r="AI61">
        <v>0.15</v>
      </c>
      <c r="AJ61">
        <f t="shared" si="12"/>
        <v>0</v>
      </c>
      <c r="AK61">
        <f t="shared" si="13"/>
        <v>0</v>
      </c>
      <c r="AL61">
        <f t="shared" si="14"/>
        <v>0</v>
      </c>
      <c r="AM61">
        <v>5.0000000000000001E-3</v>
      </c>
      <c r="AN61">
        <f t="shared" si="15"/>
        <v>0</v>
      </c>
      <c r="AO61">
        <v>0.1</v>
      </c>
      <c r="AP61">
        <f t="shared" si="16"/>
        <v>0</v>
      </c>
      <c r="AQ61">
        <v>0.1</v>
      </c>
      <c r="AR61">
        <f t="shared" si="17"/>
        <v>0</v>
      </c>
      <c r="AS61">
        <v>1</v>
      </c>
      <c r="AT61">
        <f t="shared" si="18"/>
        <v>0</v>
      </c>
      <c r="AU61">
        <v>0.01</v>
      </c>
      <c r="AV61">
        <f t="shared" si="9"/>
        <v>0.02</v>
      </c>
      <c r="AW61" s="37">
        <f>'S-Series Performance Report'!$C$36*0.01*'B1'!$F$12*'B1'!$F$5*$C$27</f>
        <v>0</v>
      </c>
      <c r="AX61">
        <f>'S-Series Performance Report'!$C$37*0.01*'B1'!$F$12*'B1'!$F$5*$C$27</f>
        <v>0</v>
      </c>
    </row>
    <row r="62" spans="5:50" x14ac:dyDescent="0.35">
      <c r="Q62">
        <f>IF(SUM(Q5:Q61)=0,1,0)</f>
        <v>0</v>
      </c>
      <c r="R62" t="s">
        <v>154</v>
      </c>
      <c r="S62" t="s">
        <v>154</v>
      </c>
      <c r="T62" t="s">
        <v>154</v>
      </c>
      <c r="U62" t="s">
        <v>154</v>
      </c>
      <c r="W62" t="s">
        <v>154</v>
      </c>
      <c r="X62" t="s">
        <v>154</v>
      </c>
      <c r="Y62" t="s">
        <v>154</v>
      </c>
      <c r="Z62" t="s">
        <v>154</v>
      </c>
      <c r="AA62" t="s">
        <v>154</v>
      </c>
      <c r="AB62" t="s">
        <v>154</v>
      </c>
      <c r="AC62" t="s">
        <v>154</v>
      </c>
    </row>
  </sheetData>
  <sheetProtection algorithmName="SHA-512" hashValue="cA/QiUUp1MnwPkSHgWFc9A1DRcKb/0xnTiqzIFZI3lAlJRLRls4+7sO5kDZtO1h+KuFg3LMNk6c09ITWpylmUQ==" saltValue="3qVHgcqf7QIa4Zk6vUn32Q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S-Series Performance Report</vt:lpstr>
      <vt:lpstr>B1</vt:lpstr>
      <vt:lpstr>'S-Series Performance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Lamp</dc:creator>
  <cp:lastModifiedBy>John Lamp</cp:lastModifiedBy>
  <cp:lastPrinted>2020-07-21T12:12:20Z</cp:lastPrinted>
  <dcterms:created xsi:type="dcterms:W3CDTF">2020-06-09T19:54:01Z</dcterms:created>
  <dcterms:modified xsi:type="dcterms:W3CDTF">2020-10-28T18:07:30Z</dcterms:modified>
</cp:coreProperties>
</file>